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3.xml" ContentType="application/vnd.openxmlformats-officedocument.spreadsheetml.comments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7560"/>
  </bookViews>
  <sheets>
    <sheet name="Càlcul pressupost " sheetId="15" r:id="rId1"/>
    <sheet name="Perfils" sheetId="5" r:id="rId2"/>
    <sheet name="Taules IJ" sheetId="16" r:id="rId3"/>
    <sheet name="Costos Indirectes" sheetId="8" r:id="rId4"/>
    <sheet name="Infraestructura" sheetId="17" r:id="rId5"/>
    <sheet name="Llicències" sheetId="18" r:id="rId6"/>
    <sheet name="SuportProf" sheetId="20" r:id="rId7"/>
  </sheets>
  <externalReferences>
    <externalReference r:id="rId8"/>
    <externalReference r:id="rId9"/>
  </externalReferences>
  <definedNames>
    <definedName name="C_Despesa">'[1]Dades auxiliars'!$N$1:$N$9</definedName>
    <definedName name="Dades_Servei">'[2]Dades auxiliars'!$A$1:$J$262</definedName>
    <definedName name="T_Despesa">'[1]Dades auxiliars'!$M$1:$M$5</definedName>
  </definedNames>
  <calcPr calcId="145621"/>
  <pivotCaches>
    <pivotCache cacheId="0" r:id="rId10"/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30" i="5"/>
  <c r="G21" i="5"/>
  <c r="D38" i="16" l="1"/>
  <c r="B38" i="16"/>
  <c r="N16" i="16"/>
  <c r="M16" i="16"/>
  <c r="E32" i="16"/>
  <c r="D32" i="16"/>
  <c r="L31" i="16"/>
  <c r="L28" i="16"/>
  <c r="I28" i="16"/>
  <c r="M14" i="16"/>
  <c r="M7" i="16"/>
  <c r="K16" i="16"/>
  <c r="J14" i="16"/>
  <c r="J15" i="16"/>
  <c r="J13" i="16"/>
  <c r="J12" i="16"/>
  <c r="J10" i="16"/>
  <c r="J9" i="16"/>
  <c r="J8" i="16"/>
  <c r="J7" i="16"/>
  <c r="J6" i="16"/>
  <c r="J11" i="16"/>
  <c r="I16" i="16"/>
  <c r="H16" i="16"/>
  <c r="D11" i="16"/>
  <c r="D13" i="16"/>
  <c r="F16" i="16"/>
  <c r="D14" i="16"/>
  <c r="D7" i="16"/>
  <c r="E7" i="16" s="1"/>
  <c r="G7" i="15"/>
  <c r="D12" i="16"/>
  <c r="D10" i="16"/>
  <c r="D9" i="16"/>
  <c r="D8" i="16"/>
  <c r="D6" i="16"/>
  <c r="N21" i="15"/>
  <c r="N16" i="15"/>
  <c r="M16" i="15"/>
  <c r="O10" i="15"/>
  <c r="N15" i="15"/>
  <c r="N13" i="15"/>
  <c r="N11" i="15"/>
  <c r="N10" i="15"/>
  <c r="N8" i="15"/>
  <c r="N7" i="15"/>
  <c r="N6" i="15"/>
  <c r="O6" i="15" s="1"/>
  <c r="M18" i="15"/>
  <c r="M15" i="15"/>
  <c r="M13" i="15"/>
  <c r="M10" i="15"/>
  <c r="M8" i="15"/>
  <c r="M7" i="15"/>
  <c r="M6" i="15"/>
  <c r="I4" i="15"/>
  <c r="O16" i="15" l="1"/>
  <c r="I6" i="5"/>
  <c r="I3" i="5"/>
  <c r="H89" i="16" l="1"/>
  <c r="H88" i="16"/>
  <c r="D29" i="18"/>
  <c r="C6" i="18"/>
  <c r="C29" i="18"/>
  <c r="C5" i="18"/>
  <c r="C4" i="18"/>
  <c r="D21" i="18"/>
  <c r="E21" i="18"/>
  <c r="D36" i="18"/>
  <c r="E36" i="18"/>
  <c r="C6" i="20"/>
  <c r="F2" i="15"/>
  <c r="I2" i="15"/>
  <c r="M25" i="15"/>
  <c r="N25" i="15"/>
  <c r="O25" i="15"/>
  <c r="P25" i="15"/>
  <c r="Q25" i="15"/>
  <c r="Q27" i="15"/>
  <c r="C77" i="16"/>
  <c r="C76" i="16"/>
  <c r="N27" i="15"/>
  <c r="B75" i="16"/>
  <c r="M26" i="15"/>
  <c r="M27" i="15"/>
  <c r="B74" i="16"/>
  <c r="G18" i="15"/>
  <c r="N18" i="15"/>
  <c r="H18" i="15" s="1"/>
  <c r="M19" i="15"/>
  <c r="G19" i="15"/>
  <c r="N19" i="15"/>
  <c r="H19" i="15"/>
  <c r="P10" i="15"/>
  <c r="M11" i="15"/>
  <c r="O11" i="15"/>
  <c r="I11" i="15" s="1"/>
  <c r="H15" i="15"/>
  <c r="I90" i="15" s="1"/>
  <c r="I92" i="15" s="1"/>
  <c r="L26" i="15"/>
  <c r="H23" i="16"/>
  <c r="E23" i="16"/>
  <c r="L27" i="15"/>
  <c r="E26" i="15"/>
  <c r="C7" i="18"/>
  <c r="C9" i="18"/>
  <c r="C10" i="18"/>
  <c r="D3" i="17"/>
  <c r="D4" i="17"/>
  <c r="D5" i="17"/>
  <c r="C6" i="17"/>
  <c r="D6" i="17"/>
  <c r="D17" i="17"/>
  <c r="D18" i="17"/>
  <c r="D11" i="17"/>
  <c r="D12" i="17"/>
  <c r="D13" i="17"/>
  <c r="F15" i="16"/>
  <c r="G15" i="16"/>
  <c r="H15" i="16"/>
  <c r="C13" i="17"/>
  <c r="S40" i="16"/>
  <c r="Q40" i="16"/>
  <c r="L39" i="16"/>
  <c r="J39" i="16"/>
  <c r="V17" i="15"/>
  <c r="V14" i="15"/>
  <c r="E8" i="5"/>
  <c r="G8" i="5" s="1"/>
  <c r="I8" i="5" s="1"/>
  <c r="C8" i="5"/>
  <c r="C11" i="5"/>
  <c r="K97" i="15"/>
  <c r="E31" i="5"/>
  <c r="F31" i="5" s="1"/>
  <c r="E22" i="5"/>
  <c r="E23" i="5"/>
  <c r="G23" i="5" s="1"/>
  <c r="I23" i="5" s="1"/>
  <c r="E24" i="5"/>
  <c r="G24" i="5"/>
  <c r="I24" i="5" s="1"/>
  <c r="E25" i="5"/>
  <c r="G25" i="5" s="1"/>
  <c r="I25" i="5" s="1"/>
  <c r="E26" i="5"/>
  <c r="G26" i="5" s="1"/>
  <c r="I26" i="5" s="1"/>
  <c r="E17" i="5"/>
  <c r="G17" i="5" s="1"/>
  <c r="I17" i="5" s="1"/>
  <c r="E18" i="5"/>
  <c r="G18" i="5" s="1"/>
  <c r="I18" i="5" s="1"/>
  <c r="E19" i="5"/>
  <c r="G19" i="5" s="1"/>
  <c r="I19" i="5" s="1"/>
  <c r="E20" i="5"/>
  <c r="G20" i="5" s="1"/>
  <c r="I20" i="5" s="1"/>
  <c r="C36" i="5"/>
  <c r="C29" i="5"/>
  <c r="C25" i="5"/>
  <c r="C23" i="5"/>
  <c r="C22" i="5"/>
  <c r="C18" i="5"/>
  <c r="C17" i="5"/>
  <c r="C7" i="5"/>
  <c r="C5" i="5"/>
  <c r="C3" i="5"/>
  <c r="C12" i="5"/>
  <c r="C4" i="5"/>
  <c r="C28" i="5"/>
  <c r="C24" i="5"/>
  <c r="C19" i="5"/>
  <c r="E14" i="5"/>
  <c r="F14" i="5" s="1"/>
  <c r="E15" i="5"/>
  <c r="F15" i="5" s="1"/>
  <c r="C15" i="5"/>
  <c r="C14" i="5"/>
  <c r="E29" i="5"/>
  <c r="G29" i="5" s="1"/>
  <c r="E28" i="5"/>
  <c r="G28" i="5" s="1"/>
  <c r="I28" i="5" s="1"/>
  <c r="F19" i="5"/>
  <c r="E10" i="5"/>
  <c r="G10" i="5" s="1"/>
  <c r="I10" i="5" s="1"/>
  <c r="H16" i="5"/>
  <c r="E12" i="5"/>
  <c r="F12" i="5"/>
  <c r="E11" i="5"/>
  <c r="F11" i="5" s="1"/>
  <c r="F8" i="15"/>
  <c r="E8" i="15"/>
  <c r="E36" i="5"/>
  <c r="G36" i="5" s="1"/>
  <c r="I36" i="5" s="1"/>
  <c r="E37" i="5"/>
  <c r="G37" i="5" s="1"/>
  <c r="C39" i="16"/>
  <c r="E39" i="16"/>
  <c r="K27" i="15"/>
  <c r="E19" i="15"/>
  <c r="E18" i="15"/>
  <c r="E16" i="15"/>
  <c r="E15" i="15"/>
  <c r="E13" i="15"/>
  <c r="E11" i="15"/>
  <c r="E10" i="15"/>
  <c r="F18" i="15"/>
  <c r="F16" i="15"/>
  <c r="F15" i="15"/>
  <c r="F13" i="15"/>
  <c r="F11" i="15"/>
  <c r="F10" i="15"/>
  <c r="F7" i="15"/>
  <c r="E7" i="15"/>
  <c r="H30" i="5"/>
  <c r="H27" i="5"/>
  <c r="D45" i="8"/>
  <c r="E25" i="15"/>
  <c r="E27" i="15"/>
  <c r="F25" i="15"/>
  <c r="E3" i="5"/>
  <c r="E4" i="5"/>
  <c r="F4" i="5" s="1"/>
  <c r="E5" i="5"/>
  <c r="F5" i="5" s="1"/>
  <c r="G5" i="5"/>
  <c r="I5" i="5" s="1"/>
  <c r="F22" i="5"/>
  <c r="F18" i="5"/>
  <c r="E7" i="5"/>
  <c r="G7" i="5" s="1"/>
  <c r="F8" i="5"/>
  <c r="O43" i="15"/>
  <c r="P55" i="15"/>
  <c r="O55" i="15"/>
  <c r="P49" i="15"/>
  <c r="O49" i="15"/>
  <c r="P43" i="15"/>
  <c r="F3" i="15"/>
  <c r="F4" i="15"/>
  <c r="C37" i="5"/>
  <c r="H38" i="5"/>
  <c r="C31" i="5"/>
  <c r="C26" i="5"/>
  <c r="C20" i="5"/>
  <c r="C10" i="5"/>
  <c r="H21" i="5"/>
  <c r="H32" i="5"/>
  <c r="H13" i="5"/>
  <c r="H9" i="5"/>
  <c r="H6" i="5"/>
  <c r="H33" i="5"/>
  <c r="F24" i="5"/>
  <c r="F36" i="5"/>
  <c r="G12" i="5"/>
  <c r="I12" i="5" s="1"/>
  <c r="G4" i="5"/>
  <c r="I4" i="5" s="1"/>
  <c r="F3" i="5"/>
  <c r="G3" i="5"/>
  <c r="C12" i="18"/>
  <c r="D7" i="17"/>
  <c r="D22" i="17"/>
  <c r="C17" i="17"/>
  <c r="L97" i="15"/>
  <c r="L98" i="15"/>
  <c r="O13" i="15"/>
  <c r="L61" i="15"/>
  <c r="L62" i="15"/>
  <c r="C7" i="16"/>
  <c r="D24" i="17"/>
  <c r="K6" i="15"/>
  <c r="L6" i="15"/>
  <c r="F6" i="15"/>
  <c r="C15" i="16"/>
  <c r="D15" i="16"/>
  <c r="E15" i="16"/>
  <c r="I22" i="16"/>
  <c r="I25" i="15"/>
  <c r="C22" i="16"/>
  <c r="G25" i="15"/>
  <c r="C9" i="16"/>
  <c r="G10" i="15"/>
  <c r="H7" i="15"/>
  <c r="J73" i="15" s="1"/>
  <c r="J75" i="15" s="1"/>
  <c r="C14" i="16"/>
  <c r="G15" i="15"/>
  <c r="C12" i="16"/>
  <c r="E12" i="16" s="1"/>
  <c r="C10" i="16"/>
  <c r="G11" i="15"/>
  <c r="C8" i="16"/>
  <c r="G8" i="15"/>
  <c r="M38" i="15" s="1"/>
  <c r="M39" i="15" s="1"/>
  <c r="C11" i="16"/>
  <c r="G13" i="15"/>
  <c r="G49" i="15"/>
  <c r="G50" i="15"/>
  <c r="H50" i="15"/>
  <c r="C13" i="16"/>
  <c r="G16" i="15"/>
  <c r="L55" i="15" s="1"/>
  <c r="L56" i="15" s="1"/>
  <c r="F11" i="16"/>
  <c r="G11" i="16" s="1"/>
  <c r="K21" i="15"/>
  <c r="E6" i="15"/>
  <c r="E21" i="15"/>
  <c r="D22" i="16"/>
  <c r="D24" i="16"/>
  <c r="C24" i="16"/>
  <c r="E10" i="16"/>
  <c r="H8" i="15"/>
  <c r="M74" i="15" s="1"/>
  <c r="M75" i="15" s="1"/>
  <c r="F8" i="16"/>
  <c r="L8" i="16" s="1"/>
  <c r="E8" i="16"/>
  <c r="I60" i="15"/>
  <c r="G27" i="15"/>
  <c r="I66" i="15"/>
  <c r="E14" i="16"/>
  <c r="F13" i="16"/>
  <c r="G13" i="16" s="1"/>
  <c r="H13" i="16" s="1"/>
  <c r="H16" i="15"/>
  <c r="L91" i="15" s="1"/>
  <c r="L92" i="15" s="1"/>
  <c r="O8" i="15"/>
  <c r="I8" i="15" s="1"/>
  <c r="P8" i="15"/>
  <c r="Q8" i="15" s="1"/>
  <c r="F12" i="16"/>
  <c r="I29" i="16"/>
  <c r="E22" i="16"/>
  <c r="E24" i="16"/>
  <c r="F14" i="16"/>
  <c r="G14" i="16" s="1"/>
  <c r="E9" i="16"/>
  <c r="F22" i="16"/>
  <c r="F24" i="16"/>
  <c r="H25" i="15"/>
  <c r="H102" i="15"/>
  <c r="F10" i="16"/>
  <c r="H11" i="15"/>
  <c r="L80" i="15"/>
  <c r="J22" i="16"/>
  <c r="I54" i="15"/>
  <c r="H10" i="15"/>
  <c r="I79" i="15" s="1"/>
  <c r="I81" i="15" s="1"/>
  <c r="F9" i="16"/>
  <c r="G9" i="16"/>
  <c r="H9" i="16" s="1"/>
  <c r="L44" i="15"/>
  <c r="C6" i="16"/>
  <c r="C16" i="16" s="1"/>
  <c r="G6" i="15"/>
  <c r="M21" i="15"/>
  <c r="K22" i="16"/>
  <c r="F26" i="15"/>
  <c r="F27" i="15"/>
  <c r="O26" i="15"/>
  <c r="G22" i="16"/>
  <c r="G75" i="16"/>
  <c r="J29" i="16"/>
  <c r="L81" i="15"/>
  <c r="G12" i="16"/>
  <c r="H12" i="16" s="1"/>
  <c r="I67" i="15"/>
  <c r="J67" i="15"/>
  <c r="L45" i="15"/>
  <c r="G74" i="16"/>
  <c r="I56" i="15"/>
  <c r="H103" i="15"/>
  <c r="I8" i="16"/>
  <c r="I62" i="15"/>
  <c r="M62" i="15"/>
  <c r="L22" i="16"/>
  <c r="G36" i="15"/>
  <c r="G39" i="15"/>
  <c r="E6" i="16"/>
  <c r="I23" i="16"/>
  <c r="O27" i="15"/>
  <c r="B76" i="16"/>
  <c r="G76" i="16"/>
  <c r="H22" i="16"/>
  <c r="H24" i="16"/>
  <c r="G24" i="16"/>
  <c r="N22" i="16"/>
  <c r="I26" i="15"/>
  <c r="P26" i="15"/>
  <c r="P27" i="15"/>
  <c r="G77" i="16"/>
  <c r="M22" i="16"/>
  <c r="H74" i="16"/>
  <c r="H31" i="15"/>
  <c r="C42" i="8"/>
  <c r="J26" i="15"/>
  <c r="J25" i="15"/>
  <c r="J27" i="15"/>
  <c r="I27" i="15"/>
  <c r="K23" i="16"/>
  <c r="K24" i="16"/>
  <c r="L23" i="16"/>
  <c r="J23" i="16"/>
  <c r="J24" i="16"/>
  <c r="I24" i="16"/>
  <c r="K29" i="16"/>
  <c r="L29" i="16" s="1"/>
  <c r="B78" i="16"/>
  <c r="C78" i="16"/>
  <c r="D42" i="8"/>
  <c r="E42" i="8"/>
  <c r="K76" i="16"/>
  <c r="J76" i="16"/>
  <c r="H138" i="15"/>
  <c r="H27" i="15"/>
  <c r="M23" i="16"/>
  <c r="L24" i="16"/>
  <c r="G31" i="15"/>
  <c r="P39" i="16"/>
  <c r="G78" i="16"/>
  <c r="F42" i="8"/>
  <c r="D51" i="8"/>
  <c r="I76" i="16"/>
  <c r="L76" i="16"/>
  <c r="D52" i="8"/>
  <c r="H139" i="15"/>
  <c r="I139" i="15"/>
  <c r="P40" i="16"/>
  <c r="T39" i="16"/>
  <c r="T40" i="16"/>
  <c r="T41" i="16"/>
  <c r="R39" i="16"/>
  <c r="R40" i="16"/>
  <c r="R41" i="16"/>
  <c r="N23" i="16"/>
  <c r="N24" i="16"/>
  <c r="M24" i="16"/>
  <c r="I31" i="15"/>
  <c r="G42" i="8"/>
  <c r="D53" i="8"/>
  <c r="H42" i="8"/>
  <c r="I42" i="8"/>
  <c r="D48" i="8"/>
  <c r="D55" i="8"/>
  <c r="J42" i="8"/>
  <c r="D47" i="8"/>
  <c r="K42" i="8"/>
  <c r="D46" i="8"/>
  <c r="M5" i="5"/>
  <c r="M3" i="5"/>
  <c r="M4" i="5"/>
  <c r="M6" i="5"/>
  <c r="M7" i="5"/>
  <c r="M8" i="5"/>
  <c r="M9" i="5"/>
  <c r="E13" i="16" l="1"/>
  <c r="L10" i="16"/>
  <c r="L115" i="15"/>
  <c r="L116" i="15" s="1"/>
  <c r="J11" i="15"/>
  <c r="M81" i="15"/>
  <c r="P11" i="15"/>
  <c r="Q11" i="15" s="1"/>
  <c r="I10" i="16"/>
  <c r="G10" i="16"/>
  <c r="I10" i="15"/>
  <c r="I114" i="15" s="1"/>
  <c r="I116" i="15" s="1"/>
  <c r="G8" i="16"/>
  <c r="H8" i="16" s="1"/>
  <c r="I96" i="15"/>
  <c r="I98" i="15" s="1"/>
  <c r="M98" i="15" s="1"/>
  <c r="H14" i="16"/>
  <c r="O18" i="15"/>
  <c r="P16" i="15"/>
  <c r="Q16" i="15" s="1"/>
  <c r="I13" i="16"/>
  <c r="I16" i="15"/>
  <c r="M92" i="15"/>
  <c r="M56" i="15"/>
  <c r="O15" i="15"/>
  <c r="E11" i="16"/>
  <c r="P13" i="15"/>
  <c r="I13" i="15"/>
  <c r="G120" i="15" s="1"/>
  <c r="G121" i="15" s="1"/>
  <c r="H121" i="15" s="1"/>
  <c r="I11" i="16"/>
  <c r="L11" i="16"/>
  <c r="H11" i="16"/>
  <c r="H13" i="15"/>
  <c r="Q10" i="15"/>
  <c r="P12" i="15"/>
  <c r="G21" i="15"/>
  <c r="I43" i="15"/>
  <c r="I45" i="15" s="1"/>
  <c r="M45" i="15" s="1"/>
  <c r="I9" i="16"/>
  <c r="J8" i="15"/>
  <c r="M109" i="15"/>
  <c r="M110" i="15" s="1"/>
  <c r="K8" i="16"/>
  <c r="M8" i="16"/>
  <c r="N8" i="16" s="1"/>
  <c r="F7" i="16"/>
  <c r="O7" i="15"/>
  <c r="P7" i="15" s="1"/>
  <c r="Q7" i="15" s="1"/>
  <c r="N39" i="15"/>
  <c r="J37" i="15"/>
  <c r="J39" i="15" s="1"/>
  <c r="I30" i="16"/>
  <c r="I31" i="16" s="1"/>
  <c r="H6" i="15"/>
  <c r="F6" i="16"/>
  <c r="B63" i="16"/>
  <c r="G63" i="16" s="1"/>
  <c r="C29" i="16"/>
  <c r="B45" i="16" s="1"/>
  <c r="G45" i="16" s="1"/>
  <c r="P6" i="15"/>
  <c r="F28" i="5"/>
  <c r="F26" i="5"/>
  <c r="F17" i="5"/>
  <c r="F10" i="5"/>
  <c r="G14" i="5"/>
  <c r="I14" i="5" s="1"/>
  <c r="F20" i="5"/>
  <c r="G31" i="5"/>
  <c r="G15" i="5"/>
  <c r="I15" i="5" s="1"/>
  <c r="G38" i="5"/>
  <c r="I37" i="5"/>
  <c r="F37" i="5"/>
  <c r="F25" i="5"/>
  <c r="I7" i="5"/>
  <c r="G9" i="5"/>
  <c r="I29" i="5"/>
  <c r="G6" i="5"/>
  <c r="I37" i="15" s="1"/>
  <c r="F29" i="5"/>
  <c r="F7" i="5"/>
  <c r="F23" i="5"/>
  <c r="G11" i="5"/>
  <c r="I22" i="5"/>
  <c r="G27" i="5"/>
  <c r="G138" i="15"/>
  <c r="F138" i="15" s="1"/>
  <c r="H37" i="15" l="1"/>
  <c r="H10" i="16"/>
  <c r="M116" i="15"/>
  <c r="M10" i="16"/>
  <c r="N10" i="16" s="1"/>
  <c r="K10" i="16"/>
  <c r="J10" i="15"/>
  <c r="J12" i="15" s="1"/>
  <c r="P18" i="15"/>
  <c r="Q18" i="15" s="1"/>
  <c r="I14" i="16"/>
  <c r="I18" i="15"/>
  <c r="M13" i="16"/>
  <c r="L13" i="16"/>
  <c r="L126" i="15"/>
  <c r="L127" i="15" s="1"/>
  <c r="J16" i="15"/>
  <c r="I15" i="15"/>
  <c r="P15" i="15"/>
  <c r="I12" i="16"/>
  <c r="Q13" i="15"/>
  <c r="P14" i="15"/>
  <c r="G85" i="15"/>
  <c r="G86" i="15" s="1"/>
  <c r="H86" i="15" s="1"/>
  <c r="J13" i="15"/>
  <c r="J14" i="15" s="1"/>
  <c r="M11" i="16"/>
  <c r="N11" i="16" s="1"/>
  <c r="L9" i="16"/>
  <c r="M9" i="16"/>
  <c r="I32" i="16"/>
  <c r="D29" i="16"/>
  <c r="E29" i="16" s="1"/>
  <c r="E16" i="16"/>
  <c r="I7" i="16"/>
  <c r="I7" i="15"/>
  <c r="G7" i="16"/>
  <c r="D16" i="16"/>
  <c r="P9" i="15"/>
  <c r="G6" i="16"/>
  <c r="H6" i="16" s="1"/>
  <c r="H21" i="15"/>
  <c r="G72" i="15"/>
  <c r="G75" i="15" s="1"/>
  <c r="N75" i="15" s="1"/>
  <c r="L5" i="8"/>
  <c r="D8" i="8" s="1"/>
  <c r="Q6" i="15"/>
  <c r="I6" i="16"/>
  <c r="I6" i="15"/>
  <c r="J6" i="15" s="1"/>
  <c r="M10" i="5"/>
  <c r="G32" i="5"/>
  <c r="I31" i="5"/>
  <c r="G16" i="5"/>
  <c r="I38" i="5"/>
  <c r="G102" i="15"/>
  <c r="F102" i="15" s="1"/>
  <c r="H66" i="15"/>
  <c r="G66" i="15" s="1"/>
  <c r="I108" i="15"/>
  <c r="I73" i="15"/>
  <c r="H73" i="15" s="1"/>
  <c r="I9" i="5"/>
  <c r="H114" i="15"/>
  <c r="G114" i="15" s="1"/>
  <c r="H43" i="15"/>
  <c r="G43" i="15" s="1"/>
  <c r="H79" i="15"/>
  <c r="G79" i="15" s="1"/>
  <c r="I11" i="5"/>
  <c r="G13" i="5"/>
  <c r="H54" i="15"/>
  <c r="I21" i="5"/>
  <c r="H90" i="15"/>
  <c r="G90" i="15" s="1"/>
  <c r="H125" i="15"/>
  <c r="I27" i="5"/>
  <c r="K126" i="15"/>
  <c r="K91" i="15"/>
  <c r="J91" i="15" s="1"/>
  <c r="K55" i="15"/>
  <c r="J126" i="15" l="1"/>
  <c r="K9" i="16"/>
  <c r="I131" i="15"/>
  <c r="I133" i="15" s="1"/>
  <c r="J18" i="15"/>
  <c r="L14" i="16"/>
  <c r="K14" i="16"/>
  <c r="N13" i="16"/>
  <c r="K13" i="16"/>
  <c r="M12" i="16"/>
  <c r="K12" i="16"/>
  <c r="L12" i="16"/>
  <c r="Q15" i="15"/>
  <c r="P17" i="15"/>
  <c r="I125" i="15"/>
  <c r="I127" i="15" s="1"/>
  <c r="M127" i="15" s="1"/>
  <c r="J15" i="15"/>
  <c r="J17" i="15" s="1"/>
  <c r="K11" i="16"/>
  <c r="N9" i="16"/>
  <c r="H7" i="16"/>
  <c r="J108" i="15"/>
  <c r="J110" i="15" s="1"/>
  <c r="J7" i="15"/>
  <c r="J9" i="15" s="1"/>
  <c r="L7" i="16"/>
  <c r="G107" i="15"/>
  <c r="G110" i="15" s="1"/>
  <c r="M6" i="16"/>
  <c r="G16" i="16"/>
  <c r="J28" i="16"/>
  <c r="C30" i="16"/>
  <c r="B64" i="16"/>
  <c r="L6" i="16"/>
  <c r="H131" i="15"/>
  <c r="G131" i="15" s="1"/>
  <c r="H60" i="15"/>
  <c r="G60" i="15" s="1"/>
  <c r="H96" i="15"/>
  <c r="G96" i="15" s="1"/>
  <c r="I32" i="5"/>
  <c r="L74" i="15"/>
  <c r="K74" i="15" s="1"/>
  <c r="L38" i="15"/>
  <c r="K38" i="15" s="1"/>
  <c r="I16" i="5"/>
  <c r="L109" i="15"/>
  <c r="K109" i="15" s="1"/>
  <c r="K80" i="15"/>
  <c r="J80" i="15" s="1"/>
  <c r="K44" i="15"/>
  <c r="J44" i="15" s="1"/>
  <c r="I13" i="5"/>
  <c r="K115" i="15"/>
  <c r="J115" i="15" s="1"/>
  <c r="U16" i="15"/>
  <c r="J55" i="15"/>
  <c r="U15" i="15"/>
  <c r="G54" i="15"/>
  <c r="N12" i="16" l="1"/>
  <c r="N110" i="15"/>
  <c r="K6" i="16"/>
  <c r="N14" i="16"/>
  <c r="Q21" i="15"/>
  <c r="L19" i="15"/>
  <c r="G125" i="15"/>
  <c r="K7" i="16"/>
  <c r="N7" i="16"/>
  <c r="H108" i="15"/>
  <c r="L23" i="8"/>
  <c r="D26" i="8" s="1"/>
  <c r="N6" i="16"/>
  <c r="G64" i="16"/>
  <c r="D30" i="16"/>
  <c r="E30" i="16" s="1"/>
  <c r="B46" i="16"/>
  <c r="J30" i="16"/>
  <c r="O19" i="15" l="1"/>
  <c r="O21" i="15" s="1"/>
  <c r="L21" i="15"/>
  <c r="F19" i="15"/>
  <c r="F21" i="15" s="1"/>
  <c r="C66" i="16"/>
  <c r="G66" i="16" s="1"/>
  <c r="C65" i="16"/>
  <c r="C47" i="16"/>
  <c r="C48" i="16"/>
  <c r="G48" i="16" s="1"/>
  <c r="J31" i="16"/>
  <c r="J32" i="16" s="1"/>
  <c r="G46" i="16"/>
  <c r="C49" i="16" l="1"/>
  <c r="C67" i="16"/>
  <c r="I19" i="15"/>
  <c r="I15" i="16"/>
  <c r="P19" i="15"/>
  <c r="P20" i="15" s="1"/>
  <c r="P21" i="15" s="1"/>
  <c r="H30" i="15" s="1"/>
  <c r="L15" i="16" l="1"/>
  <c r="I21" i="15"/>
  <c r="L132" i="15"/>
  <c r="L133" i="15" s="1"/>
  <c r="M133" i="15" s="1"/>
  <c r="J19" i="15"/>
  <c r="J20" i="15" s="1"/>
  <c r="J21" i="15" s="1"/>
  <c r="M15" i="16" l="1"/>
  <c r="J16" i="16"/>
  <c r="K15" i="16"/>
  <c r="G30" i="16"/>
  <c r="G30" i="17"/>
  <c r="G30" i="15"/>
  <c r="G30" i="20"/>
  <c r="G30" i="8"/>
  <c r="G30" i="18"/>
  <c r="L16" i="16"/>
  <c r="C31" i="16"/>
  <c r="K28" i="16"/>
  <c r="B65" i="16"/>
  <c r="N15" i="16" l="1"/>
  <c r="I38" i="16" s="1"/>
  <c r="K38" i="16" s="1"/>
  <c r="K39" i="16" s="1"/>
  <c r="K40" i="16" s="1"/>
  <c r="G65" i="16"/>
  <c r="B67" i="16"/>
  <c r="G67" i="16" s="1"/>
  <c r="I30" i="15"/>
  <c r="I32" i="15" s="1"/>
  <c r="G32" i="15"/>
  <c r="H32" i="15" s="1"/>
  <c r="L30" i="16"/>
  <c r="K30" i="16"/>
  <c r="K31" i="16" s="1"/>
  <c r="K32" i="16" s="1"/>
  <c r="C32" i="16"/>
  <c r="C5" i="8" s="1"/>
  <c r="D31" i="16"/>
  <c r="B47" i="16"/>
  <c r="I30" i="5"/>
  <c r="K61" i="15"/>
  <c r="K132" i="15"/>
  <c r="J132" i="15" s="1"/>
  <c r="C23" i="8"/>
  <c r="H63" i="16"/>
  <c r="M38" i="16" l="1"/>
  <c r="M39" i="16" s="1"/>
  <c r="M40" i="16" s="1"/>
  <c r="I39" i="16"/>
  <c r="A53" i="16"/>
  <c r="L32" i="16"/>
  <c r="D5" i="8"/>
  <c r="E5" i="8" s="1"/>
  <c r="F5" i="8" s="1"/>
  <c r="K65" i="16"/>
  <c r="J65" i="16"/>
  <c r="E31" i="16"/>
  <c r="D23" i="8"/>
  <c r="G47" i="16"/>
  <c r="B49" i="16"/>
  <c r="G49" i="16" s="1"/>
  <c r="H5" i="8" l="1"/>
  <c r="D14" i="8"/>
  <c r="D33" i="8"/>
  <c r="L65" i="16"/>
  <c r="I65" i="16"/>
  <c r="D39" i="16"/>
  <c r="D40" i="16" s="1"/>
  <c r="D65" i="16" s="1"/>
  <c r="F65" i="16" s="1"/>
  <c r="F38" i="16"/>
  <c r="F39" i="16" s="1"/>
  <c r="F40" i="16" s="1"/>
  <c r="E65" i="16" s="1"/>
  <c r="B39" i="16"/>
  <c r="D15" i="8"/>
  <c r="G5" i="8"/>
  <c r="D16" i="8" s="1"/>
  <c r="E23" i="8"/>
  <c r="F23" i="8" s="1"/>
  <c r="G23" i="8" s="1"/>
  <c r="D34" i="8" s="1"/>
  <c r="C55" i="16"/>
  <c r="D55" i="16"/>
  <c r="D76" i="16" l="1"/>
  <c r="F76" i="16" s="1"/>
  <c r="D66" i="16"/>
  <c r="F66" i="16" s="1"/>
  <c r="D48" i="16"/>
  <c r="F48" i="16" s="1"/>
  <c r="E64" i="16"/>
  <c r="E75" i="16"/>
  <c r="E45" i="16"/>
  <c r="D74" i="16"/>
  <c r="E47" i="16"/>
  <c r="E63" i="16"/>
  <c r="E48" i="16"/>
  <c r="E74" i="16"/>
  <c r="D46" i="16"/>
  <c r="F46" i="16" s="1"/>
  <c r="E66" i="16"/>
  <c r="D45" i="16"/>
  <c r="H23" i="8"/>
  <c r="D32" i="8"/>
  <c r="D75" i="16"/>
  <c r="F75" i="16" s="1"/>
  <c r="E77" i="16"/>
  <c r="E46" i="16"/>
  <c r="D64" i="16"/>
  <c r="F64" i="16" s="1"/>
  <c r="E55" i="16"/>
  <c r="B55" i="16"/>
  <c r="D47" i="16"/>
  <c r="F47" i="16" s="1"/>
  <c r="D77" i="16"/>
  <c r="F77" i="16" s="1"/>
  <c r="D63" i="16"/>
  <c r="E76" i="16"/>
  <c r="I5" i="8"/>
  <c r="D11" i="8"/>
  <c r="D18" i="8" s="1"/>
  <c r="D29" i="8" l="1"/>
  <c r="D36" i="8" s="1"/>
  <c r="I23" i="8"/>
  <c r="E49" i="16"/>
  <c r="D49" i="16"/>
  <c r="F45" i="16"/>
  <c r="F49" i="16" s="1"/>
  <c r="J5" i="8"/>
  <c r="D10" i="8" s="1"/>
  <c r="E78" i="16"/>
  <c r="D78" i="16"/>
  <c r="F74" i="16"/>
  <c r="F78" i="16" s="1"/>
  <c r="D67" i="16"/>
  <c r="F63" i="16"/>
  <c r="F67" i="16" s="1"/>
  <c r="E67" i="16"/>
  <c r="K5" i="8" l="1"/>
  <c r="D9" i="8" s="1"/>
  <c r="J23" i="8"/>
  <c r="D28" i="8" s="1"/>
  <c r="K23" i="8" l="1"/>
  <c r="D27" i="8" s="1"/>
</calcChain>
</file>

<file path=xl/comments1.xml><?xml version="1.0" encoding="utf-8"?>
<comments xmlns="http://schemas.openxmlformats.org/spreadsheetml/2006/main">
  <authors>
    <author>Ajuntament de Barcelona</author>
  </authors>
  <commentList>
    <comment ref="H7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resta0,01
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suma0,01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resta 0,001
</t>
        </r>
      </text>
    </comment>
    <comment ref="N16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suma 0,001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suma 0,001</t>
        </r>
      </text>
    </comment>
    <comment ref="O21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suma 0,01</t>
        </r>
      </text>
    </comment>
  </commentList>
</comments>
</file>

<file path=xl/comments2.xml><?xml version="1.0" encoding="utf-8"?>
<comments xmlns="http://schemas.openxmlformats.org/spreadsheetml/2006/main">
  <authors>
    <author>Ajuntament de Barcelona</author>
  </authors>
  <commentList>
    <comment ref="D7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resto 0,01
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resto 0,01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resto 0,01</t>
        </r>
      </text>
    </comment>
    <comment ref="J11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suma 0,01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sumo 0,01</t>
        </r>
      </text>
    </comment>
    <comment ref="D14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sumo 0,01
</t>
        </r>
      </text>
    </comment>
    <comment ref="J14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resto 0,01</t>
        </r>
      </text>
    </comment>
    <comment ref="M14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resto 0,01
</t>
        </r>
      </text>
    </comment>
    <comment ref="F16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sumo 0,001
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sumo 0,001</t>
        </r>
      </text>
    </comment>
    <comment ref="K16" authorId="0">
      <text>
        <r>
          <rPr>
            <b/>
            <sz val="9"/>
            <color indexed="81"/>
            <rFont val="Tahoma"/>
            <charset val="1"/>
          </rPr>
          <t>Ajuntament de Barcelona:</t>
        </r>
        <r>
          <rPr>
            <sz val="9"/>
            <color indexed="81"/>
            <rFont val="Tahoma"/>
            <charset val="1"/>
          </rPr>
          <t xml:space="preserve">
resto 0,01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sumo 0,02 per quadrar el restat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sumo 0,02</t>
        </r>
      </text>
    </comment>
  </commentList>
</comments>
</file>

<file path=xl/comments3.xml><?xml version="1.0" encoding="utf-8"?>
<comments xmlns="http://schemas.openxmlformats.org/spreadsheetml/2006/main">
  <authors>
    <author>Ajuntament de Barcelona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https://azure.microsoft.com/en-us/pricing/details/expressroute/
</t>
        </r>
      </text>
    </comment>
    <comment ref="C4" authorId="0">
      <text>
        <r>
          <rPr>
            <sz val="9"/>
            <color indexed="81"/>
            <rFont val="Tahoma"/>
            <family val="2"/>
          </rPr>
          <t xml:space="preserve">0,191/hora*24*365
</t>
        </r>
      </text>
    </comment>
  </commentList>
</comments>
</file>

<file path=xl/sharedStrings.xml><?xml version="1.0" encoding="utf-8"?>
<sst xmlns="http://schemas.openxmlformats.org/spreadsheetml/2006/main" count="763" uniqueCount="271">
  <si>
    <t>Servei plec</t>
  </si>
  <si>
    <t>Perfil</t>
  </si>
  <si>
    <t>% dedicació</t>
  </si>
  <si>
    <t>Preu perfil IVA inclòs</t>
  </si>
  <si>
    <t>Preu perfil IVA exclòs</t>
  </si>
  <si>
    <t>Preu perfil tipus</t>
  </si>
  <si>
    <t>Total</t>
  </si>
  <si>
    <t>Data inici servei</t>
  </si>
  <si>
    <t>Data inici transició</t>
  </si>
  <si>
    <t>Criticitat</t>
  </si>
  <si>
    <t>Nom Aplicació</t>
  </si>
  <si>
    <t>Codi Aplicació</t>
  </si>
  <si>
    <t>Nom Servei</t>
  </si>
  <si>
    <t>Servei</t>
  </si>
  <si>
    <t>Import total licitació</t>
  </si>
  <si>
    <t>Import Total IVA inclòs</t>
  </si>
  <si>
    <t>Data fi del contracte</t>
  </si>
  <si>
    <t>Data inici contracte</t>
  </si>
  <si>
    <t>1,5 x VEC</t>
  </si>
  <si>
    <t>2/3 VEC / anys de contracte</t>
  </si>
  <si>
    <t>1,5 x VEC / anys de contracte</t>
  </si>
  <si>
    <t>MÀXIM</t>
  </si>
  <si>
    <t>MÍNIM</t>
  </si>
  <si>
    <t>ACONSELLABLE</t>
  </si>
  <si>
    <t>Anys de contracte</t>
  </si>
  <si>
    <t>Solvència tècnica</t>
  </si>
  <si>
    <t>Solvència económica</t>
  </si>
  <si>
    <t>VEC</t>
  </si>
  <si>
    <t>SUMA</t>
  </si>
  <si>
    <t>VE modificacions contracte amb disminució de cost previstes</t>
  </si>
  <si>
    <t>VE modificacions contracte amb increment de cost previstes</t>
  </si>
  <si>
    <t>VE eventuals pròrrogues</t>
  </si>
  <si>
    <t>VE prestació</t>
  </si>
  <si>
    <t>IVA EXCLÒS</t>
  </si>
  <si>
    <t> TOTAL</t>
  </si>
  <si>
    <t xml:space="preserve">Modificacions per augment o disminució de volumetries en Serveis/Aplicacions </t>
  </si>
  <si>
    <t>Import màxim disminució (amb IVA)</t>
  </si>
  <si>
    <t>% Disminució sobre import del contracte</t>
  </si>
  <si>
    <t>Import màxim ampliació (amb IVA)</t>
  </si>
  <si>
    <t>% Ampliació sobre import del contracte</t>
  </si>
  <si>
    <t>Import contracte (IVA inclòs)</t>
  </si>
  <si>
    <t>Causes previstes de modificació</t>
  </si>
  <si>
    <t>Modificacions de contracte: ampliació / disminució</t>
  </si>
  <si>
    <t>Import total</t>
  </si>
  <si>
    <t>IVA</t>
  </si>
  <si>
    <t>Pressupost net</t>
  </si>
  <si>
    <t>Any</t>
  </si>
  <si>
    <t>TOTAL</t>
  </si>
  <si>
    <t>Distribució de pressupost per any</t>
  </si>
  <si>
    <t>Total import contracte</t>
  </si>
  <si>
    <t>Total IVA 21%</t>
  </si>
  <si>
    <t>Total import net</t>
  </si>
  <si>
    <t>Serveis</t>
  </si>
  <si>
    <t>Distribució de pressupost per any i per servei</t>
  </si>
  <si>
    <t>TOTAL DE COSTOS (directes + indirectes):</t>
  </si>
  <si>
    <t>TOTAL (Suma costos indirectes)</t>
  </si>
  <si>
    <t>Costos indirectes:</t>
  </si>
  <si>
    <t>TOTAL (Suma costos directes)</t>
  </si>
  <si>
    <t>Costos salarials - Salari Brut</t>
  </si>
  <si>
    <t>Costos directes:</t>
  </si>
  <si>
    <t>Salari 
Brut</t>
  </si>
  <si>
    <t>Seguretat 
Social (34%)</t>
  </si>
  <si>
    <t>Cost 
personal</t>
  </si>
  <si>
    <t>Suma costos 
Indirectes</t>
  </si>
  <si>
    <t>Cost Total</t>
  </si>
  <si>
    <t>Benefici 
Industrial (20%)</t>
  </si>
  <si>
    <t>Preu
 IVA exclòs</t>
  </si>
  <si>
    <t>CÀLCUL COSTOS DIRECTES I INDIRECTES PEL PROJECTE</t>
  </si>
  <si>
    <t>Infraestructura</t>
  </si>
  <si>
    <t>Preu/hora
IVA INCLÒS</t>
  </si>
  <si>
    <t>Costos 
directes</t>
  </si>
  <si>
    <t>Preu / hora /perfil (IVA inclòs)</t>
  </si>
  <si>
    <t>Capítol</t>
  </si>
  <si>
    <t>Servei LOT 1</t>
  </si>
  <si>
    <t>Digitalització de serveis públics</t>
  </si>
  <si>
    <t>Gestió projecte</t>
  </si>
  <si>
    <t>Aprovisionament Infraestructura cloud</t>
  </si>
  <si>
    <t>Llicències</t>
  </si>
  <si>
    <t>Desenvolupament de programari</t>
  </si>
  <si>
    <t>Desenvolupament programari</t>
  </si>
  <si>
    <t>LOT 1</t>
  </si>
  <si>
    <t>PMO</t>
  </si>
  <si>
    <t>Servei LOT 2</t>
  </si>
  <si>
    <t>Inici</t>
  </si>
  <si>
    <t>Fi</t>
  </si>
  <si>
    <t>OMNICANALITAT 2023</t>
  </si>
  <si>
    <t>Administració i operació Cloud</t>
  </si>
  <si>
    <t>Manteniment Plataforma</t>
  </si>
  <si>
    <t xml:space="preserve">Instal·lació i configuració </t>
  </si>
  <si>
    <t>IVA INCLÒS</t>
  </si>
  <si>
    <t xml:space="preserve">Administració I  operació </t>
  </si>
  <si>
    <t>Instal·lació i configuració</t>
  </si>
  <si>
    <t>LOT 2</t>
  </si>
  <si>
    <t xml:space="preserve">IMPORT
Instal·lació i configuració </t>
  </si>
  <si>
    <t xml:space="preserve">HORES
Instal·lació i configuració </t>
  </si>
  <si>
    <t>HORES
Administració i operació Cloud</t>
  </si>
  <si>
    <t>IMPORT
Administració i operació Cloud</t>
  </si>
  <si>
    <t>HORES
Manteniment Plataforma</t>
  </si>
  <si>
    <t>IMPORT
Manteniment Plataforma</t>
  </si>
  <si>
    <t>IMPORT
Llicències</t>
  </si>
  <si>
    <t>HORES
Desenvolupament programari</t>
  </si>
  <si>
    <t>IMPORT
Desenvolupament programari</t>
  </si>
  <si>
    <t>HORES
Digitalització de serveis públics</t>
  </si>
  <si>
    <t>IMPORT
Digitalització de serveis públics</t>
  </si>
  <si>
    <t>HORES
Gestió projecte</t>
  </si>
  <si>
    <t>IMPORT
Gestió projecte</t>
  </si>
  <si>
    <t>TOTAL PROJECTE</t>
  </si>
  <si>
    <t>Import Total 
IVA inclòs</t>
  </si>
  <si>
    <t>Import Total 
IVA exclòs</t>
  </si>
  <si>
    <t>Import 1r any
IVA inc</t>
  </si>
  <si>
    <t>Import 2n any
IVA inc</t>
  </si>
  <si>
    <t>import 1r any
IVA exc</t>
  </si>
  <si>
    <t>import 2n any
IVA exc</t>
  </si>
  <si>
    <t>Mensual</t>
  </si>
  <si>
    <t>Import 1r any
IVA exc</t>
  </si>
  <si>
    <t>Import 2n any
IVA exc</t>
  </si>
  <si>
    <t>Lot</t>
  </si>
  <si>
    <t>Pressupost 2023</t>
  </si>
  <si>
    <t>Pressupost 2024</t>
  </si>
  <si>
    <t>Import màxim total</t>
  </si>
  <si>
    <t>Lot 1</t>
  </si>
  <si>
    <t>Lot 2</t>
  </si>
  <si>
    <t>Sub_TOTAL</t>
  </si>
  <si>
    <t>Benefici industrial (20%)</t>
  </si>
  <si>
    <t>Cost 
Indirecte (6,4%)</t>
  </si>
  <si>
    <t>Despeses generals d’estructura (6,4%)***</t>
  </si>
  <si>
    <t>Costos salarials - Seguretat Social (34%)*</t>
  </si>
  <si>
    <t>Infraestructura**</t>
  </si>
  <si>
    <t>TOTAL 
(IVA inc)</t>
  </si>
  <si>
    <t>Transició</t>
  </si>
  <si>
    <t xml:space="preserve">    Transició</t>
  </si>
  <si>
    <t>HORES
Transició</t>
  </si>
  <si>
    <t>IMPORT
Transició</t>
  </si>
  <si>
    <t>import 2023
IVA exc</t>
  </si>
  <si>
    <t>import 2024
IVA exc</t>
  </si>
  <si>
    <t>import 2025
IVA exc</t>
  </si>
  <si>
    <t>import 2023
IVA inc</t>
  </si>
  <si>
    <t>import 2024
IVA inc</t>
  </si>
  <si>
    <t>import 2025
IVA inc</t>
  </si>
  <si>
    <t xml:space="preserve">  2023          IVA INCLÒS</t>
  </si>
  <si>
    <t>Import net
2023</t>
  </si>
  <si>
    <t>IVA 21%
2023</t>
  </si>
  <si>
    <t>Import total
2023</t>
  </si>
  <si>
    <t>Import net
2024</t>
  </si>
  <si>
    <t>IVA 21%
2024</t>
  </si>
  <si>
    <t>Import total
2024</t>
  </si>
  <si>
    <t>Import total
2025</t>
  </si>
  <si>
    <t>Import net
2025</t>
  </si>
  <si>
    <t>IVA 21%
2025</t>
  </si>
  <si>
    <t>Pressupost 2025</t>
  </si>
  <si>
    <t>VEC LOT1 - LOT 2</t>
  </si>
  <si>
    <t>1 mes transició</t>
  </si>
  <si>
    <t>Fi possible pròrroga</t>
  </si>
  <si>
    <t>IMPORTS SENSE IVA</t>
  </si>
  <si>
    <t>IMPORT
PMO</t>
  </si>
  <si>
    <t>Aprovisionament Infraestructura cloud + comunicacions</t>
  </si>
  <si>
    <t>Aprovisionament Infraestructura cloud+ comunicacions</t>
  </si>
  <si>
    <t>Serveis professionals de suport</t>
  </si>
  <si>
    <t xml:space="preserve">      Serveis professionals de suport</t>
  </si>
  <si>
    <t>IMPORT
Serveis prof suport</t>
  </si>
  <si>
    <t>HORES
Serveis prof suport</t>
  </si>
  <si>
    <t>VEC LOT1</t>
  </si>
  <si>
    <t>VEC LOT 2</t>
  </si>
  <si>
    <t>Marges possibles solvènvia LOT 1 - LOT 2</t>
  </si>
  <si>
    <t>Elements comunicacions</t>
  </si>
  <si>
    <t>cost encriptació</t>
  </si>
  <si>
    <t>Infraestructura + Manteniment/operació</t>
  </si>
  <si>
    <t>Backup línia comunicacions</t>
  </si>
  <si>
    <t>cost linia comunicacions</t>
  </si>
  <si>
    <t>TOTAL ANUAL</t>
  </si>
  <si>
    <t>TOTAL 2 ANYS PROJECTE</t>
  </si>
  <si>
    <t>cost mensual 1 GB
iva exc</t>
  </si>
  <si>
    <t>cost anual 1 GB
iva exc</t>
  </si>
  <si>
    <t>cost anual 
iva exc</t>
  </si>
  <si>
    <t>cost mensual 
iva exc</t>
  </si>
  <si>
    <t>cost gateway</t>
  </si>
  <si>
    <t>Preu / hora /perfil (IVA exc)</t>
  </si>
  <si>
    <t>Total general</t>
  </si>
  <si>
    <t>Suma de % dedicació</t>
  </si>
  <si>
    <t>Arquitecte/a</t>
  </si>
  <si>
    <t>Cap de projecte - Responsable dels serveis</t>
  </si>
  <si>
    <t>Subservei LOT 1</t>
  </si>
  <si>
    <t xml:space="preserve">Servei administració, operació i manteniment </t>
  </si>
  <si>
    <t xml:space="preserve">Servei Desenvolupament </t>
  </si>
  <si>
    <t xml:space="preserve">Servei Gestió projecte i transició </t>
  </si>
  <si>
    <t xml:space="preserve">Servei d’Aprovisionament i configuració  </t>
  </si>
  <si>
    <t>SUBSERVEI 1</t>
  </si>
  <si>
    <t>SUBSERVEI 2</t>
  </si>
  <si>
    <t>SUBSERVEI 3</t>
  </si>
  <si>
    <t>SUBSERVEI 4</t>
  </si>
  <si>
    <t>SUBSERVEI 5</t>
  </si>
  <si>
    <t>Sub Servei</t>
  </si>
  <si>
    <t>Servei Desenvolupament</t>
  </si>
  <si>
    <t>Servei de llicències</t>
  </si>
  <si>
    <t>Servei de desenvolupament</t>
  </si>
  <si>
    <t>Servei Gestió projecte i transició</t>
  </si>
  <si>
    <t>Columna1</t>
  </si>
  <si>
    <t>Columna2</t>
  </si>
  <si>
    <t>2023          IVA INCLÒS</t>
  </si>
  <si>
    <t>2023       IVA INCLÒS</t>
  </si>
  <si>
    <t xml:space="preserve">  2024          IVA INCLÒS</t>
  </si>
  <si>
    <t>2024          IVA INCLÒS</t>
  </si>
  <si>
    <t>2024 IVA INCLÒS</t>
  </si>
  <si>
    <t xml:space="preserve">  2025          IVA INCLÒS</t>
  </si>
  <si>
    <t>2025          IVA INCLÒS</t>
  </si>
  <si>
    <t>2025 IVA INCLÒS</t>
  </si>
  <si>
    <t>2025        IVA INCLÒS</t>
  </si>
  <si>
    <t>2024         IVA INCLÒS</t>
  </si>
  <si>
    <t>Preu/hora 
IVA exclòs</t>
  </si>
  <si>
    <t>Preu/hora
IVA inclòs</t>
  </si>
  <si>
    <t>Perfils LOT 1</t>
  </si>
  <si>
    <t>Perfils LOT2</t>
  </si>
  <si>
    <t>Aprovisionament Infraestructura cloud i comunicacions</t>
  </si>
  <si>
    <t>FTEs</t>
  </si>
  <si>
    <t>VI</t>
  </si>
  <si>
    <t>Cost any
IVA Exclòs</t>
  </si>
  <si>
    <t>Import total lot1</t>
  </si>
  <si>
    <t>Import total lot2</t>
  </si>
  <si>
    <t>x resta</t>
  </si>
  <si>
    <t>x suma</t>
  </si>
  <si>
    <t>2 integracions altas + 4 int media + 8 int basicas</t>
  </si>
  <si>
    <t>2 cas us alt+3 cas mig +4 cas simple</t>
  </si>
  <si>
    <t>Modificacions de contracte LOT1: ampliació / disminució</t>
  </si>
  <si>
    <t>Modificacions de contracte LOT2: ampliació / disminució</t>
  </si>
  <si>
    <t>Marges possibles solvènvia  LOT 2</t>
  </si>
  <si>
    <t>Marges possibles solvènvia LOT 1</t>
  </si>
  <si>
    <t xml:space="preserve">Máquina virtual de proposito general: 4 vCPUs, 16 GB RAM </t>
  </si>
  <si>
    <t>Espai ciutadà</t>
  </si>
  <si>
    <t>Infraestructura/Manteniment/operació de les comunicacions</t>
  </si>
  <si>
    <t>Instal·lació i configuració components</t>
  </si>
  <si>
    <t>Any 1</t>
  </si>
  <si>
    <t>Any 2</t>
  </si>
  <si>
    <t>Any 3</t>
  </si>
  <si>
    <t>Perfils</t>
  </si>
  <si>
    <t xml:space="preserve">        100.000 </t>
  </si>
  <si>
    <t xml:space="preserve">        500.000 </t>
  </si>
  <si>
    <t xml:space="preserve">        1.500.000 </t>
  </si>
  <si>
    <t>Preu</t>
  </si>
  <si>
    <t>TOTAL 3 anys</t>
  </si>
  <si>
    <t>Mitjana</t>
  </si>
  <si>
    <t>Otros SF</t>
  </si>
  <si>
    <t>Mulesoft</t>
  </si>
  <si>
    <t xml:space="preserve">        124.988 </t>
  </si>
  <si>
    <t xml:space="preserve">        124.988 </t>
  </si>
  <si>
    <t xml:space="preserve">           124.988 </t>
  </si>
  <si>
    <t>Customer Community (Portal)</t>
  </si>
  <si>
    <t>25.000 logins/mes</t>
  </si>
  <si>
    <t>50.000 logins/mes</t>
  </si>
  <si>
    <t>SALESFORCE - IBM</t>
  </si>
  <si>
    <t>Producte CDP
1.500.000 perfils</t>
  </si>
  <si>
    <t>Mitjana sense 2 més baix</t>
  </si>
  <si>
    <t>0</t>
  </si>
  <si>
    <t xml:space="preserve"> -   € </t>
  </si>
  <si>
    <t>TOTALS</t>
  </si>
  <si>
    <t>Pressupost 1</t>
  </si>
  <si>
    <t>Pressupost 2</t>
  </si>
  <si>
    <t>Pressupost 3</t>
  </si>
  <si>
    <t>Pressupost 4</t>
  </si>
  <si>
    <t>Pressupost 5</t>
  </si>
  <si>
    <t>Pressupost 6</t>
  </si>
  <si>
    <t>Disc SSD 1T</t>
  </si>
  <si>
    <t>SUPORT PROFESSIONAL</t>
  </si>
  <si>
    <t>mesos</t>
  </si>
  <si>
    <t>Import</t>
  </si>
  <si>
    <t>Serveis a tant alçat</t>
  </si>
  <si>
    <t>Cost serveis a preus unitaris</t>
  </si>
  <si>
    <t>Programador/a júnior</t>
  </si>
  <si>
    <t>Tècnic/a especialista productes - Consultor/a especialista</t>
  </si>
  <si>
    <t>Administrador/a i Tècnic/a de  Sistemes - Consultor júnior</t>
  </si>
  <si>
    <t>Analista programador/a - analista user experience -Programador/a sènior</t>
  </si>
  <si>
    <t>Tècnic/a sistemes júnior - Tecnic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</si>
</sst>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3]_-;\-* #,##0.00\ [$€-403]_-;_-* &quot;-&quot;??\ [$€-403]_-;_-@_-"/>
    <numFmt numFmtId="165" formatCode="_-* #,##0.00&quot; €&quot;_-;\-* #,##0.00&quot; €&quot;_-;_-* \-??&quot; €&quot;_-;_-@_-"/>
    <numFmt numFmtId="166" formatCode="#,##0.00\ &quot;€&quot;"/>
    <numFmt numFmtId="167" formatCode="0.0000%"/>
    <numFmt numFmtId="168" formatCode="#,##0.00\ [$€-1]"/>
    <numFmt numFmtId="169" formatCode="#,##0.00&quot;€&quot;"/>
    <numFmt numFmtId="170" formatCode="###0.0_);[Red]\(###0.0\)"/>
    <numFmt numFmtId="171" formatCode="#,##0.00\ [$€-C0A]"/>
    <numFmt numFmtId="172" formatCode="0.0%"/>
    <numFmt numFmtId="173" formatCode="_-* #,##0.00\ [$€-C0A]_-;\-* #,##0.00\ [$€-C0A]_-;_-* &quot;-&quot;??\ [$€-C0A]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1"/>
      <name val="&quot;Calibri&quot;"/>
    </font>
    <font>
      <sz val="11"/>
      <name val="&quot;Calibri&quot;"/>
    </font>
    <font>
      <b/>
      <sz val="11"/>
      <color rgb="FF000000"/>
      <name val="&quot;Calibri&quot;"/>
    </font>
    <font>
      <i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Geneva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9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scheme val="minor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DEBF7"/>
        <bgColor rgb="FFDDEBF7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8496B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14999847407452621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/>
      </right>
      <top style="medium">
        <color indexed="64"/>
      </top>
      <bottom/>
      <diagonal/>
    </border>
    <border>
      <left style="medium">
        <color indexed="64"/>
      </left>
      <right style="thin">
        <color theme="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50505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 style="medium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/>
      <top style="thin">
        <color rgb="FF505050"/>
      </top>
      <bottom style="thin">
        <color rgb="FF505050"/>
      </bottom>
      <diagonal/>
    </border>
    <border>
      <left style="medium">
        <color rgb="FF505050"/>
      </left>
      <right/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 style="medium">
        <color indexed="64"/>
      </left>
      <right/>
      <top style="medium">
        <color rgb="FF505050"/>
      </top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medium">
        <color rgb="FF505050"/>
      </bottom>
      <diagonal/>
    </border>
    <border>
      <left/>
      <right/>
      <top style="double">
        <color theme="1"/>
      </top>
      <bottom style="medium">
        <color theme="1"/>
      </bottom>
      <diagonal/>
    </border>
    <border>
      <left style="medium">
        <color indexed="64"/>
      </left>
      <right/>
      <top style="double">
        <color theme="5"/>
      </top>
      <bottom style="thin">
        <color theme="5" tint="0.39997558519241921"/>
      </bottom>
      <diagonal/>
    </border>
  </borders>
  <cellStyleXfs count="7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Border="0" applyProtection="0"/>
    <xf numFmtId="0" fontId="9" fillId="0" borderId="0"/>
    <xf numFmtId="0" fontId="10" fillId="0" borderId="0"/>
    <xf numFmtId="0" fontId="1" fillId="0" borderId="0"/>
    <xf numFmtId="0" fontId="1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9" fillId="12" borderId="0" applyNumberFormat="0">
      <alignment horizontal="right" vertical="top" wrapText="1"/>
    </xf>
    <xf numFmtId="0" fontId="39" fillId="13" borderId="0" applyNumberFormat="0">
      <alignment horizontal="right" vertical="top" wrapText="1"/>
    </xf>
    <xf numFmtId="0" fontId="37" fillId="0" borderId="0"/>
    <xf numFmtId="44" fontId="37" fillId="0" borderId="0" applyFont="0" applyFill="0" applyBorder="0" applyAlignment="0" applyProtection="0"/>
    <xf numFmtId="38" fontId="40" fillId="14" borderId="0" applyNumberFormat="0" applyBorder="0" applyAlignment="0" applyProtection="0"/>
    <xf numFmtId="0" fontId="41" fillId="0" borderId="23" applyNumberFormat="0" applyAlignment="0" applyProtection="0">
      <alignment horizontal="left" vertical="center"/>
    </xf>
    <xf numFmtId="0" fontId="41" fillId="0" borderId="13">
      <alignment horizontal="left"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40" fillId="15" borderId="1" applyNumberFormat="0" applyBorder="0" applyAlignment="0" applyProtection="0"/>
    <xf numFmtId="3" fontId="44" fillId="14" borderId="0">
      <alignment horizontal="right"/>
      <protection locked="0"/>
    </xf>
    <xf numFmtId="0" fontId="45" fillId="0" borderId="0"/>
    <xf numFmtId="170" fontId="37" fillId="0" borderId="0"/>
    <xf numFmtId="0" fontId="37" fillId="0" borderId="0"/>
    <xf numFmtId="3" fontId="39" fillId="0" borderId="0"/>
    <xf numFmtId="10" fontId="37" fillId="0" borderId="0" applyFont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20">
      <alignment horizontal="center"/>
    </xf>
    <xf numFmtId="3" fontId="46" fillId="0" borderId="0" applyFont="0" applyFill="0" applyBorder="0" applyAlignment="0" applyProtection="0"/>
    <xf numFmtId="0" fontId="46" fillId="16" borderId="0" applyNumberFormat="0" applyFont="0" applyBorder="0" applyAlignment="0" applyProtection="0"/>
    <xf numFmtId="0" fontId="37" fillId="0" borderId="0"/>
    <xf numFmtId="4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44" fontId="36" fillId="0" borderId="0" applyFont="0" applyFill="0" applyBorder="0" applyAlignment="0" applyProtection="0"/>
    <xf numFmtId="170" fontId="36" fillId="0" borderId="0"/>
    <xf numFmtId="0" fontId="36" fillId="0" borderId="0"/>
    <xf numFmtId="10" fontId="36" fillId="0" borderId="0" applyFont="0" applyFill="0" applyBorder="0" applyAlignment="0" applyProtection="0"/>
    <xf numFmtId="0" fontId="36" fillId="0" borderId="0"/>
    <xf numFmtId="4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</cellStyleXfs>
  <cellXfs count="701">
    <xf numFmtId="0" fontId="0" fillId="0" borderId="0" xfId="0"/>
    <xf numFmtId="0" fontId="2" fillId="0" borderId="0" xfId="0" applyFont="1"/>
    <xf numFmtId="2" fontId="0" fillId="0" borderId="0" xfId="0" applyNumberFormat="1"/>
    <xf numFmtId="0" fontId="8" fillId="0" borderId="0" xfId="0" applyFont="1" applyAlignment="1">
      <alignment vertical="center"/>
    </xf>
    <xf numFmtId="10" fontId="0" fillId="0" borderId="0" xfId="0" applyNumberFormat="1"/>
    <xf numFmtId="0" fontId="0" fillId="0" borderId="2" xfId="0" applyBorder="1"/>
    <xf numFmtId="0" fontId="6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14" fontId="4" fillId="0" borderId="8" xfId="0" applyNumberFormat="1" applyFont="1" applyFill="1" applyBorder="1" applyAlignment="1">
      <alignment horizontal="center"/>
    </xf>
    <xf numFmtId="166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9" xfId="0" applyFill="1" applyBorder="1" applyAlignment="1">
      <alignment horizontal="left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/>
    </xf>
    <xf numFmtId="166" fontId="5" fillId="5" borderId="0" xfId="0" applyNumberFormat="1" applyFont="1" applyFill="1" applyAlignment="1"/>
    <xf numFmtId="4" fontId="5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wrapText="1"/>
    </xf>
    <xf numFmtId="0" fontId="0" fillId="5" borderId="9" xfId="0" applyFill="1" applyBorder="1" applyAlignment="1">
      <alignment horizontal="left"/>
    </xf>
    <xf numFmtId="0" fontId="0" fillId="5" borderId="9" xfId="0" applyFill="1" applyBorder="1" applyAlignment="1">
      <alignment wrapText="1"/>
    </xf>
    <xf numFmtId="0" fontId="11" fillId="6" borderId="0" xfId="0" applyFont="1" applyFill="1" applyAlignment="1">
      <alignment horizontal="center" vertical="center" wrapText="1"/>
    </xf>
    <xf numFmtId="0" fontId="0" fillId="0" borderId="1" xfId="0" applyFill="1" applyBorder="1"/>
    <xf numFmtId="14" fontId="2" fillId="0" borderId="0" xfId="0" applyNumberFormat="1" applyFont="1"/>
    <xf numFmtId="0" fontId="0" fillId="0" borderId="0" xfId="0" applyFont="1" applyFill="1"/>
    <xf numFmtId="0" fontId="0" fillId="0" borderId="0" xfId="0" applyFont="1" applyProtection="1">
      <protection locked="0"/>
    </xf>
    <xf numFmtId="14" fontId="1" fillId="0" borderId="0" xfId="0" applyNumberFormat="1" applyFont="1"/>
    <xf numFmtId="14" fontId="0" fillId="0" borderId="0" xfId="0" applyNumberFormat="1" applyFont="1"/>
    <xf numFmtId="8" fontId="1" fillId="0" borderId="0" xfId="0" applyNumberFormat="1" applyFont="1" applyFill="1" applyAlignment="1">
      <alignment horizontal="right" wrapText="1"/>
    </xf>
    <xf numFmtId="0" fontId="2" fillId="0" borderId="0" xfId="0" applyNumberFormat="1" applyFont="1" applyFill="1" applyBorder="1" applyProtection="1">
      <protection hidden="1"/>
    </xf>
    <xf numFmtId="0" fontId="6" fillId="6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wrapText="1"/>
    </xf>
    <xf numFmtId="0" fontId="5" fillId="0" borderId="0" xfId="0" applyNumberFormat="1" applyFont="1" applyFill="1" applyBorder="1" applyProtection="1">
      <protection hidden="1"/>
    </xf>
    <xf numFmtId="0" fontId="1" fillId="0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0" fontId="13" fillId="7" borderId="0" xfId="0" applyNumberFormat="1" applyFont="1" applyFill="1" applyBorder="1" applyAlignment="1" applyProtection="1">
      <alignment horizontal="left" vertical="center"/>
      <protection hidden="1"/>
    </xf>
    <xf numFmtId="0" fontId="6" fillId="7" borderId="0" xfId="0" applyFont="1" applyFill="1"/>
    <xf numFmtId="0" fontId="1" fillId="7" borderId="0" xfId="0" applyFont="1" applyFill="1" applyAlignment="1">
      <alignment wrapText="1"/>
    </xf>
    <xf numFmtId="0" fontId="14" fillId="0" borderId="0" xfId="0" applyFont="1"/>
    <xf numFmtId="8" fontId="16" fillId="0" borderId="1" xfId="0" applyNumberFormat="1" applyFont="1" applyBorder="1" applyAlignment="1">
      <alignment horizontal="right" vertical="center"/>
    </xf>
    <xf numFmtId="8" fontId="19" fillId="5" borderId="1" xfId="0" applyNumberFormat="1" applyFont="1" applyFill="1" applyBorder="1" applyAlignment="1">
      <alignment horizontal="right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14" fillId="8" borderId="1" xfId="0" applyFont="1" applyFill="1" applyBorder="1" applyAlignment="1">
      <alignment horizontal="right"/>
    </xf>
    <xf numFmtId="8" fontId="16" fillId="8" borderId="1" xfId="0" applyNumberFormat="1" applyFont="1" applyFill="1" applyBorder="1" applyAlignment="1">
      <alignment horizontal="right" vertical="center"/>
    </xf>
    <xf numFmtId="166" fontId="19" fillId="5" borderId="1" xfId="0" applyNumberFormat="1" applyFont="1" applyFill="1" applyBorder="1" applyAlignment="1">
      <alignment horizontal="right" vertical="center" wrapText="1"/>
    </xf>
    <xf numFmtId="0" fontId="23" fillId="5" borderId="1" xfId="0" applyFont="1" applyFill="1" applyBorder="1" applyAlignment="1">
      <alignment horizontal="left" vertical="center"/>
    </xf>
    <xf numFmtId="166" fontId="16" fillId="0" borderId="1" xfId="0" applyNumberFormat="1" applyFont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44" fontId="2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0" fontId="22" fillId="0" borderId="0" xfId="0" applyFont="1" applyFill="1" applyAlignment="1">
      <alignment horizontal="left"/>
    </xf>
    <xf numFmtId="0" fontId="0" fillId="0" borderId="0" xfId="0" applyFont="1" applyAlignment="1"/>
    <xf numFmtId="168" fontId="28" fillId="0" borderId="0" xfId="0" applyNumberFormat="1" applyFont="1"/>
    <xf numFmtId="166" fontId="0" fillId="0" borderId="0" xfId="0" applyNumberFormat="1" applyFont="1" applyAlignment="1"/>
    <xf numFmtId="0" fontId="29" fillId="10" borderId="15" xfId="0" applyFont="1" applyFill="1" applyBorder="1" applyAlignment="1">
      <alignment vertical="top"/>
    </xf>
    <xf numFmtId="0" fontId="28" fillId="0" borderId="0" xfId="0" applyFont="1" applyAlignment="1">
      <alignment vertical="top"/>
    </xf>
    <xf numFmtId="0" fontId="30" fillId="0" borderId="15" xfId="0" applyFont="1" applyBorder="1" applyAlignment="1">
      <alignment horizontal="left" vertical="top"/>
    </xf>
    <xf numFmtId="0" fontId="28" fillId="0" borderId="17" xfId="0" applyFont="1" applyBorder="1" applyAlignment="1">
      <alignment vertical="top"/>
    </xf>
    <xf numFmtId="0" fontId="30" fillId="0" borderId="15" xfId="0" applyFont="1" applyBorder="1" applyAlignment="1">
      <alignment vertical="top"/>
    </xf>
    <xf numFmtId="0" fontId="28" fillId="10" borderId="15" xfId="0" applyFont="1" applyFill="1" applyBorder="1" applyAlignment="1">
      <alignment vertical="top"/>
    </xf>
    <xf numFmtId="0" fontId="31" fillId="10" borderId="15" xfId="0" applyFont="1" applyFill="1" applyBorder="1" applyAlignment="1">
      <alignment horizontal="left" vertical="top"/>
    </xf>
    <xf numFmtId="0" fontId="12" fillId="0" borderId="0" xfId="0" applyFont="1" applyAlignment="1"/>
    <xf numFmtId="168" fontId="32" fillId="11" borderId="15" xfId="0" applyNumberFormat="1" applyFont="1" applyFill="1" applyBorder="1" applyAlignment="1">
      <alignment horizontal="center"/>
    </xf>
    <xf numFmtId="169" fontId="32" fillId="11" borderId="15" xfId="0" applyNumberFormat="1" applyFont="1" applyFill="1" applyBorder="1" applyAlignment="1">
      <alignment horizontal="center"/>
    </xf>
    <xf numFmtId="169" fontId="32" fillId="0" borderId="15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3" fillId="0" borderId="15" xfId="0" applyFont="1" applyBorder="1" applyAlignment="1">
      <alignment horizontal="center"/>
    </xf>
    <xf numFmtId="0" fontId="34" fillId="0" borderId="15" xfId="0" applyFont="1" applyBorder="1" applyAlignment="1">
      <alignment horizontal="right"/>
    </xf>
    <xf numFmtId="0" fontId="0" fillId="0" borderId="0" xfId="0" applyFont="1" applyAlignment="1">
      <alignment wrapText="1"/>
    </xf>
    <xf numFmtId="168" fontId="34" fillId="11" borderId="15" xfId="0" applyNumberFormat="1" applyFont="1" applyFill="1" applyBorder="1" applyAlignment="1">
      <alignment horizontal="center" wrapText="1"/>
    </xf>
    <xf numFmtId="0" fontId="34" fillId="11" borderId="15" xfId="0" applyFont="1" applyFill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5" xfId="0" applyFont="1" applyBorder="1" applyAlignment="1"/>
    <xf numFmtId="168" fontId="33" fillId="0" borderId="15" xfId="0" applyNumberFormat="1" applyFont="1" applyBorder="1" applyAlignment="1"/>
    <xf numFmtId="0" fontId="34" fillId="0" borderId="15" xfId="0" applyFont="1" applyBorder="1" applyAlignment="1"/>
    <xf numFmtId="0" fontId="0" fillId="0" borderId="0" xfId="0"/>
    <xf numFmtId="0" fontId="0" fillId="0" borderId="0" xfId="0" applyFont="1" applyBorder="1"/>
    <xf numFmtId="0" fontId="0" fillId="5" borderId="25" xfId="0" applyFill="1" applyBorder="1" applyAlignment="1">
      <alignment wrapText="1"/>
    </xf>
    <xf numFmtId="9" fontId="19" fillId="5" borderId="1" xfId="0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44" fontId="30" fillId="0" borderId="16" xfId="1" applyFont="1" applyBorder="1" applyAlignment="1">
      <alignment horizontal="right" vertical="top"/>
    </xf>
    <xf numFmtId="44" fontId="29" fillId="0" borderId="16" xfId="1" applyFont="1" applyBorder="1" applyAlignment="1">
      <alignment horizontal="right" vertical="top"/>
    </xf>
    <xf numFmtId="44" fontId="28" fillId="0" borderId="17" xfId="1" applyFont="1" applyBorder="1" applyAlignment="1">
      <alignment vertical="top"/>
    </xf>
    <xf numFmtId="44" fontId="28" fillId="10" borderId="16" xfId="1" applyFont="1" applyFill="1" applyBorder="1" applyAlignment="1">
      <alignment vertical="top"/>
    </xf>
    <xf numFmtId="44" fontId="29" fillId="0" borderId="14" xfId="1" applyFont="1" applyBorder="1" applyAlignment="1">
      <alignment horizontal="right" vertical="top"/>
    </xf>
    <xf numFmtId="44" fontId="28" fillId="0" borderId="0" xfId="1" applyFont="1" applyAlignment="1">
      <alignment vertical="top"/>
    </xf>
    <xf numFmtId="44" fontId="29" fillId="10" borderId="14" xfId="1" applyFont="1" applyFill="1" applyBorder="1" applyAlignment="1">
      <alignment horizontal="right" vertical="top"/>
    </xf>
    <xf numFmtId="0" fontId="0" fillId="0" borderId="0" xfId="0" applyBorder="1"/>
    <xf numFmtId="14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44" fontId="5" fillId="5" borderId="0" xfId="1" applyFont="1" applyFill="1" applyBorder="1" applyAlignment="1">
      <alignment horizontal="center" vertical="center"/>
    </xf>
    <xf numFmtId="166" fontId="2" fillId="0" borderId="0" xfId="0" applyNumberFormat="1" applyFont="1"/>
    <xf numFmtId="166" fontId="5" fillId="5" borderId="0" xfId="1" applyNumberFormat="1" applyFont="1" applyFill="1" applyBorder="1" applyAlignment="1">
      <alignment horizontal="center" vertical="center"/>
    </xf>
    <xf numFmtId="167" fontId="0" fillId="0" borderId="0" xfId="2" applyNumberFormat="1" applyFont="1"/>
    <xf numFmtId="0" fontId="1" fillId="17" borderId="0" xfId="0" applyFont="1" applyFill="1"/>
    <xf numFmtId="0" fontId="1" fillId="17" borderId="0" xfId="0" applyFont="1" applyFill="1" applyAlignment="1" applyProtection="1">
      <alignment wrapText="1"/>
      <protection locked="0"/>
    </xf>
    <xf numFmtId="4" fontId="2" fillId="17" borderId="0" xfId="0" applyNumberFormat="1" applyFont="1" applyFill="1" applyAlignment="1">
      <alignment horizontal="left" wrapText="1"/>
    </xf>
    <xf numFmtId="166" fontId="4" fillId="17" borderId="0" xfId="0" applyNumberFormat="1" applyFont="1" applyFill="1" applyAlignment="1"/>
    <xf numFmtId="166" fontId="5" fillId="17" borderId="0" xfId="0" applyNumberFormat="1" applyFont="1" applyFill="1" applyAlignment="1"/>
    <xf numFmtId="166" fontId="2" fillId="17" borderId="0" xfId="0" applyNumberFormat="1" applyFont="1" applyFill="1"/>
    <xf numFmtId="10" fontId="0" fillId="0" borderId="33" xfId="0" applyNumberFormat="1" applyBorder="1"/>
    <xf numFmtId="10" fontId="0" fillId="0" borderId="37" xfId="0" applyNumberFormat="1" applyBorder="1"/>
    <xf numFmtId="0" fontId="6" fillId="3" borderId="38" xfId="0" applyFont="1" applyFill="1" applyBorder="1" applyAlignment="1">
      <alignment horizontal="center" vertical="center"/>
    </xf>
    <xf numFmtId="14" fontId="4" fillId="0" borderId="18" xfId="0" applyNumberFormat="1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vertical="center" wrapText="1"/>
    </xf>
    <xf numFmtId="0" fontId="11" fillId="17" borderId="0" xfId="0" applyFont="1" applyFill="1" applyBorder="1" applyAlignment="1">
      <alignment horizontal="center" vertical="center" wrapText="1"/>
    </xf>
    <xf numFmtId="0" fontId="0" fillId="17" borderId="0" xfId="0" applyFont="1" applyFill="1" applyProtection="1">
      <protection locked="0"/>
    </xf>
    <xf numFmtId="4" fontId="0" fillId="0" borderId="0" xfId="0" applyNumberFormat="1" applyFont="1" applyBorder="1" applyAlignment="1">
      <alignment horizontal="left" vertical="top" wrapText="1"/>
    </xf>
    <xf numFmtId="44" fontId="4" fillId="0" borderId="0" xfId="1" applyFont="1" applyBorder="1" applyAlignment="1">
      <alignment horizontal="center" vertical="center"/>
    </xf>
    <xf numFmtId="44" fontId="14" fillId="0" borderId="7" xfId="0" applyNumberFormat="1" applyFont="1" applyFill="1" applyBorder="1" applyAlignment="1">
      <alignment horizontal="center" vertical="center"/>
    </xf>
    <xf numFmtId="44" fontId="14" fillId="0" borderId="10" xfId="0" applyNumberFormat="1" applyFont="1" applyFill="1" applyBorder="1" applyAlignment="1">
      <alignment horizontal="center" vertical="center"/>
    </xf>
    <xf numFmtId="0" fontId="8" fillId="0" borderId="0" xfId="0" applyFont="1"/>
    <xf numFmtId="4" fontId="2" fillId="0" borderId="44" xfId="0" applyNumberFormat="1" applyFont="1" applyBorder="1" applyAlignment="1">
      <alignment horizontal="left" vertical="top" wrapText="1"/>
    </xf>
    <xf numFmtId="4" fontId="0" fillId="0" borderId="45" xfId="0" applyNumberFormat="1" applyFont="1" applyBorder="1" applyAlignment="1">
      <alignment horizontal="left" vertical="top" wrapText="1"/>
    </xf>
    <xf numFmtId="166" fontId="4" fillId="0" borderId="13" xfId="1" applyNumberFormat="1" applyFont="1" applyBorder="1" applyAlignment="1">
      <alignment horizontal="center" vertical="center"/>
    </xf>
    <xf numFmtId="44" fontId="1" fillId="0" borderId="5" xfId="1" applyFont="1" applyBorder="1" applyProtection="1">
      <protection locked="0"/>
    </xf>
    <xf numFmtId="44" fontId="1" fillId="0" borderId="6" xfId="1" applyFont="1" applyBorder="1"/>
    <xf numFmtId="44" fontId="1" fillId="0" borderId="24" xfId="1" applyFont="1" applyBorder="1" applyAlignment="1">
      <alignment wrapText="1"/>
    </xf>
    <xf numFmtId="166" fontId="8" fillId="18" borderId="20" xfId="0" applyNumberFormat="1" applyFont="1" applyFill="1" applyBorder="1" applyAlignment="1">
      <alignment wrapText="1"/>
    </xf>
    <xf numFmtId="166" fontId="8" fillId="18" borderId="46" xfId="0" applyNumberFormat="1" applyFont="1" applyFill="1" applyBorder="1" applyAlignment="1">
      <alignment wrapText="1"/>
    </xf>
    <xf numFmtId="44" fontId="2" fillId="0" borderId="0" xfId="0" applyNumberFormat="1" applyFont="1"/>
    <xf numFmtId="0" fontId="11" fillId="3" borderId="41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5" borderId="48" xfId="0" applyFont="1" applyFill="1" applyBorder="1" applyAlignment="1"/>
    <xf numFmtId="0" fontId="6" fillId="3" borderId="35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0" fontId="0" fillId="17" borderId="1" xfId="0" applyNumberFormat="1" applyFill="1" applyBorder="1"/>
    <xf numFmtId="44" fontId="0" fillId="17" borderId="1" xfId="1" applyFont="1" applyFill="1" applyBorder="1"/>
    <xf numFmtId="10" fontId="0" fillId="0" borderId="1" xfId="0" applyNumberFormat="1" applyBorder="1"/>
    <xf numFmtId="0" fontId="0" fillId="17" borderId="2" xfId="0" applyFill="1" applyBorder="1" applyAlignment="1">
      <alignment horizontal="left"/>
    </xf>
    <xf numFmtId="10" fontId="0" fillId="17" borderId="28" xfId="0" applyNumberFormat="1" applyFill="1" applyBorder="1"/>
    <xf numFmtId="44" fontId="0" fillId="17" borderId="28" xfId="1" applyFont="1" applyFill="1" applyBorder="1"/>
    <xf numFmtId="44" fontId="0" fillId="17" borderId="3" xfId="1" applyFont="1" applyFill="1" applyBorder="1"/>
    <xf numFmtId="0" fontId="0" fillId="17" borderId="53" xfId="0" applyFill="1" applyBorder="1" applyAlignment="1">
      <alignment horizontal="left"/>
    </xf>
    <xf numFmtId="44" fontId="0" fillId="17" borderId="54" xfId="1" applyFont="1" applyFill="1" applyBorder="1"/>
    <xf numFmtId="0" fontId="2" fillId="5" borderId="55" xfId="0" applyFont="1" applyFill="1" applyBorder="1" applyAlignment="1"/>
    <xf numFmtId="0" fontId="2" fillId="5" borderId="56" xfId="0" applyFont="1" applyFill="1" applyBorder="1" applyAlignment="1"/>
    <xf numFmtId="0" fontId="0" fillId="17" borderId="53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10" fontId="0" fillId="0" borderId="28" xfId="0" applyNumberFormat="1" applyBorder="1"/>
    <xf numFmtId="0" fontId="0" fillId="0" borderId="53" xfId="0" applyBorder="1" applyAlignment="1">
      <alignment horizontal="left" wrapText="1"/>
    </xf>
    <xf numFmtId="0" fontId="0" fillId="0" borderId="53" xfId="0" applyBorder="1" applyAlignment="1">
      <alignment horizontal="left"/>
    </xf>
    <xf numFmtId="0" fontId="48" fillId="0" borderId="53" xfId="0" applyFont="1" applyBorder="1" applyAlignment="1">
      <alignment wrapText="1"/>
    </xf>
    <xf numFmtId="44" fontId="2" fillId="5" borderId="56" xfId="1" applyFont="1" applyFill="1" applyBorder="1" applyAlignment="1"/>
    <xf numFmtId="44" fontId="2" fillId="5" borderId="56" xfId="1" applyFont="1" applyFill="1" applyBorder="1" applyAlignment="1">
      <alignment horizontal="left"/>
    </xf>
    <xf numFmtId="44" fontId="2" fillId="5" borderId="57" xfId="1" applyFont="1" applyFill="1" applyBorder="1" applyAlignment="1">
      <alignment horizontal="right"/>
    </xf>
    <xf numFmtId="44" fontId="0" fillId="0" borderId="28" xfId="1" applyFont="1" applyFill="1" applyBorder="1"/>
    <xf numFmtId="44" fontId="0" fillId="0" borderId="28" xfId="1" applyFont="1" applyBorder="1"/>
    <xf numFmtId="44" fontId="0" fillId="0" borderId="3" xfId="1" applyFont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54" xfId="1" applyFont="1" applyBorder="1"/>
    <xf numFmtId="0" fontId="2" fillId="5" borderId="58" xfId="0" applyFont="1" applyFill="1" applyBorder="1" applyAlignment="1"/>
    <xf numFmtId="44" fontId="0" fillId="0" borderId="35" xfId="1" applyFont="1" applyFill="1" applyBorder="1"/>
    <xf numFmtId="44" fontId="0" fillId="0" borderId="35" xfId="1" applyFont="1" applyBorder="1"/>
    <xf numFmtId="44" fontId="0" fillId="0" borderId="36" xfId="1" applyFont="1" applyBorder="1"/>
    <xf numFmtId="44" fontId="0" fillId="0" borderId="31" xfId="1" applyFont="1" applyFill="1" applyBorder="1"/>
    <xf numFmtId="44" fontId="0" fillId="0" borderId="31" xfId="1" applyFont="1" applyBorder="1"/>
    <xf numFmtId="44" fontId="0" fillId="0" borderId="32" xfId="1" applyFont="1" applyBorder="1"/>
    <xf numFmtId="44" fontId="2" fillId="5" borderId="49" xfId="1" applyFont="1" applyFill="1" applyBorder="1" applyAlignment="1"/>
    <xf numFmtId="44" fontId="2" fillId="5" borderId="29" xfId="1" applyFont="1" applyFill="1" applyBorder="1" applyAlignment="1">
      <alignment horizontal="left"/>
    </xf>
    <xf numFmtId="44" fontId="2" fillId="5" borderId="30" xfId="1" applyFont="1" applyFill="1" applyBorder="1" applyAlignment="1">
      <alignment horizontal="right"/>
    </xf>
    <xf numFmtId="0" fontId="2" fillId="5" borderId="59" xfId="0" applyFont="1" applyFill="1" applyBorder="1" applyAlignment="1"/>
    <xf numFmtId="0" fontId="2" fillId="5" borderId="43" xfId="0" applyFont="1" applyFill="1" applyBorder="1" applyAlignment="1"/>
    <xf numFmtId="44" fontId="2" fillId="5" borderId="43" xfId="1" applyFont="1" applyFill="1" applyBorder="1" applyAlignment="1"/>
    <xf numFmtId="44" fontId="2" fillId="5" borderId="43" xfId="1" applyFont="1" applyFill="1" applyBorder="1" applyAlignment="1">
      <alignment horizontal="left"/>
    </xf>
    <xf numFmtId="44" fontId="2" fillId="5" borderId="60" xfId="1" applyFont="1" applyFill="1" applyBorder="1" applyAlignment="1">
      <alignment horizontal="right"/>
    </xf>
    <xf numFmtId="0" fontId="0" fillId="0" borderId="61" xfId="0" applyBorder="1" applyAlignment="1">
      <alignment horizontal="left"/>
    </xf>
    <xf numFmtId="10" fontId="0" fillId="0" borderId="27" xfId="0" applyNumberFormat="1" applyBorder="1"/>
    <xf numFmtId="44" fontId="0" fillId="0" borderId="27" xfId="1" applyFont="1" applyFill="1" applyBorder="1"/>
    <xf numFmtId="44" fontId="0" fillId="0" borderId="27" xfId="1" applyFont="1" applyBorder="1"/>
    <xf numFmtId="44" fontId="0" fillId="0" borderId="62" xfId="1" applyFont="1" applyBorder="1"/>
    <xf numFmtId="9" fontId="48" fillId="0" borderId="28" xfId="0" applyNumberFormat="1" applyFont="1" applyBorder="1" applyAlignment="1">
      <alignment wrapText="1"/>
    </xf>
    <xf numFmtId="44" fontId="48" fillId="0" borderId="28" xfId="0" applyNumberFormat="1" applyFont="1" applyBorder="1" applyAlignment="1">
      <alignment wrapText="1"/>
    </xf>
    <xf numFmtId="44" fontId="48" fillId="0" borderId="1" xfId="0" applyNumberFormat="1" applyFont="1" applyBorder="1" applyAlignment="1">
      <alignment wrapText="1"/>
    </xf>
    <xf numFmtId="9" fontId="48" fillId="0" borderId="1" xfId="2" applyFont="1" applyBorder="1" applyAlignment="1">
      <alignment wrapText="1"/>
    </xf>
    <xf numFmtId="44" fontId="48" fillId="0" borderId="3" xfId="1" applyFont="1" applyBorder="1" applyAlignment="1">
      <alignment wrapText="1"/>
    </xf>
    <xf numFmtId="0" fontId="52" fillId="3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166" fontId="1" fillId="17" borderId="0" xfId="0" applyNumberFormat="1" applyFont="1" applyFill="1" applyAlignment="1">
      <alignment vertical="center"/>
    </xf>
    <xf numFmtId="166" fontId="54" fillId="17" borderId="0" xfId="0" applyNumberFormat="1" applyFont="1" applyFill="1" applyAlignment="1">
      <alignment vertical="center"/>
    </xf>
    <xf numFmtId="44" fontId="1" fillId="17" borderId="0" xfId="1" applyFont="1" applyFill="1"/>
    <xf numFmtId="166" fontId="2" fillId="19" borderId="0" xfId="0" applyNumberFormat="1" applyFont="1" applyFill="1"/>
    <xf numFmtId="0" fontId="0" fillId="0" borderId="0" xfId="0" applyFont="1" applyAlignment="1">
      <alignment horizontal="center" wrapText="1"/>
    </xf>
    <xf numFmtId="44" fontId="48" fillId="0" borderId="54" xfId="1" applyFont="1" applyBorder="1" applyAlignment="1">
      <alignment wrapText="1"/>
    </xf>
    <xf numFmtId="0" fontId="27" fillId="3" borderId="27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vertical="center" wrapText="1"/>
    </xf>
    <xf numFmtId="0" fontId="27" fillId="3" borderId="67" xfId="0" applyFont="1" applyFill="1" applyBorder="1" applyAlignment="1">
      <alignment horizontal="center" vertical="center" wrapText="1"/>
    </xf>
    <xf numFmtId="0" fontId="27" fillId="3" borderId="62" xfId="0" applyFont="1" applyFill="1" applyBorder="1" applyAlignment="1">
      <alignment horizontal="center" vertical="center" wrapText="1"/>
    </xf>
    <xf numFmtId="166" fontId="1" fillId="0" borderId="68" xfId="0" applyNumberFormat="1" applyFont="1" applyFill="1" applyBorder="1" applyAlignment="1">
      <alignment vertical="center"/>
    </xf>
    <xf numFmtId="44" fontId="14" fillId="0" borderId="54" xfId="0" applyNumberFormat="1" applyFont="1" applyFill="1" applyBorder="1" applyAlignment="1">
      <alignment horizontal="center" vertical="center"/>
    </xf>
    <xf numFmtId="44" fontId="14" fillId="0" borderId="53" xfId="0" applyNumberFormat="1" applyFont="1" applyFill="1" applyBorder="1" applyAlignment="1">
      <alignment horizontal="center" vertical="center"/>
    </xf>
    <xf numFmtId="166" fontId="14" fillId="0" borderId="53" xfId="0" applyNumberFormat="1" applyFont="1" applyFill="1" applyBorder="1" applyAlignment="1">
      <alignment horizontal="center" vertical="center"/>
    </xf>
    <xf numFmtId="44" fontId="22" fillId="19" borderId="69" xfId="0" applyNumberFormat="1" applyFont="1" applyFill="1" applyBorder="1" applyAlignment="1">
      <alignment horizontal="center" vertical="center"/>
    </xf>
    <xf numFmtId="44" fontId="14" fillId="0" borderId="5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/>
    <xf numFmtId="0" fontId="26" fillId="3" borderId="27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27" fillId="3" borderId="71" xfId="0" applyFont="1" applyFill="1" applyBorder="1" applyAlignment="1">
      <alignment horizontal="center" vertical="center" wrapText="1"/>
    </xf>
    <xf numFmtId="18" fontId="0" fillId="0" borderId="0" xfId="0" applyNumberFormat="1" applyFont="1"/>
    <xf numFmtId="164" fontId="22" fillId="0" borderId="0" xfId="0" applyNumberFormat="1" applyFont="1"/>
    <xf numFmtId="44" fontId="20" fillId="5" borderId="1" xfId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4" fontId="1" fillId="19" borderId="0" xfId="0" applyNumberFormat="1" applyFont="1" applyFill="1" applyAlignment="1" applyProtection="1">
      <alignment horizontal="right"/>
      <protection locked="0"/>
    </xf>
    <xf numFmtId="0" fontId="0" fillId="19" borderId="0" xfId="0" applyFont="1" applyFill="1" applyAlignment="1" applyProtection="1">
      <alignment horizontal="right"/>
      <protection locked="0"/>
    </xf>
    <xf numFmtId="44" fontId="16" fillId="0" borderId="1" xfId="0" applyNumberFormat="1" applyFont="1" applyFill="1" applyBorder="1" applyAlignment="1">
      <alignment horizontal="right" vertical="center"/>
    </xf>
    <xf numFmtId="164" fontId="14" fillId="0" borderId="0" xfId="0" applyNumberFormat="1" applyFont="1"/>
    <xf numFmtId="8" fontId="19" fillId="5" borderId="1" xfId="0" applyNumberFormat="1" applyFont="1" applyFill="1" applyBorder="1" applyAlignment="1">
      <alignment horizontal="right" vertical="center"/>
    </xf>
    <xf numFmtId="44" fontId="19" fillId="5" borderId="1" xfId="0" applyNumberFormat="1" applyFont="1" applyFill="1" applyBorder="1" applyAlignment="1">
      <alignment horizontal="right" vertical="center"/>
    </xf>
    <xf numFmtId="8" fontId="16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0" applyFont="1"/>
    <xf numFmtId="0" fontId="14" fillId="0" borderId="0" xfId="0" quotePrefix="1" applyFont="1" applyAlignment="1">
      <alignment horizontal="center"/>
    </xf>
    <xf numFmtId="0" fontId="14" fillId="0" borderId="0" xfId="0" quotePrefix="1" applyFont="1"/>
    <xf numFmtId="8" fontId="16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164" fontId="14" fillId="0" borderId="0" xfId="0" applyNumberFormat="1" applyFont="1"/>
    <xf numFmtId="8" fontId="16" fillId="0" borderId="1" xfId="0" applyNumberFormat="1" applyFont="1" applyFill="1" applyBorder="1" applyAlignment="1">
      <alignment horizontal="right" vertical="center"/>
    </xf>
    <xf numFmtId="44" fontId="0" fillId="0" borderId="0" xfId="0" applyNumberFormat="1"/>
    <xf numFmtId="0" fontId="0" fillId="0" borderId="13" xfId="0" applyFill="1" applyBorder="1"/>
    <xf numFmtId="0" fontId="0" fillId="0" borderId="10" xfId="0" applyFill="1" applyBorder="1"/>
    <xf numFmtId="0" fontId="0" fillId="0" borderId="58" xfId="0" applyFill="1" applyBorder="1"/>
    <xf numFmtId="166" fontId="4" fillId="0" borderId="73" xfId="1" applyNumberFormat="1" applyFont="1" applyBorder="1" applyAlignment="1">
      <alignment horizontal="center" vertical="center"/>
    </xf>
    <xf numFmtId="44" fontId="0" fillId="0" borderId="48" xfId="0" applyNumberFormat="1" applyFill="1" applyBorder="1"/>
    <xf numFmtId="44" fontId="0" fillId="0" borderId="13" xfId="0" applyNumberFormat="1" applyFill="1" applyBorder="1"/>
    <xf numFmtId="0" fontId="2" fillId="5" borderId="64" xfId="0" applyFont="1" applyFill="1" applyBorder="1" applyAlignment="1"/>
    <xf numFmtId="44" fontId="2" fillId="5" borderId="64" xfId="1" applyFont="1" applyFill="1" applyBorder="1" applyAlignment="1"/>
    <xf numFmtId="44" fontId="2" fillId="5" borderId="64" xfId="1" applyFont="1" applyFill="1" applyBorder="1" applyAlignment="1">
      <alignment horizontal="left"/>
    </xf>
    <xf numFmtId="44" fontId="2" fillId="5" borderId="72" xfId="1" applyFont="1" applyFill="1" applyBorder="1" applyAlignment="1">
      <alignment horizontal="right"/>
    </xf>
    <xf numFmtId="0" fontId="2" fillId="19" borderId="21" xfId="0" applyFont="1" applyFill="1" applyBorder="1" applyAlignment="1">
      <alignment horizontal="left" wrapText="1"/>
    </xf>
    <xf numFmtId="44" fontId="14" fillId="19" borderId="70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15" fillId="0" borderId="53" xfId="0" applyFont="1" applyBorder="1" applyAlignment="1">
      <alignment horizontal="center" wrapText="1"/>
    </xf>
    <xf numFmtId="0" fontId="15" fillId="0" borderId="54" xfId="0" applyFont="1" applyBorder="1" applyAlignment="1">
      <alignment horizontal="center" wrapText="1"/>
    </xf>
    <xf numFmtId="0" fontId="14" fillId="0" borderId="21" xfId="0" applyFont="1" applyBorder="1" applyAlignment="1">
      <alignment horizontal="center"/>
    </xf>
    <xf numFmtId="8" fontId="16" fillId="0" borderId="54" xfId="0" applyNumberFormat="1" applyFont="1" applyBorder="1" applyAlignment="1">
      <alignment horizontal="right" vertical="center"/>
    </xf>
    <xf numFmtId="0" fontId="14" fillId="0" borderId="22" xfId="0" applyFont="1" applyBorder="1"/>
    <xf numFmtId="0" fontId="14" fillId="0" borderId="20" xfId="0" quotePrefix="1" applyFont="1" applyBorder="1" applyAlignment="1">
      <alignment horizontal="center"/>
    </xf>
    <xf numFmtId="0" fontId="14" fillId="0" borderId="20" xfId="0" quotePrefix="1" applyFont="1" applyBorder="1"/>
    <xf numFmtId="0" fontId="14" fillId="0" borderId="46" xfId="0" quotePrefix="1" applyFont="1" applyBorder="1" applyAlignment="1">
      <alignment horizontal="center"/>
    </xf>
    <xf numFmtId="0" fontId="0" fillId="0" borderId="0" xfId="0"/>
    <xf numFmtId="44" fontId="0" fillId="0" borderId="0" xfId="1" applyFont="1"/>
    <xf numFmtId="44" fontId="0" fillId="0" borderId="0" xfId="0" applyNumberFormat="1"/>
    <xf numFmtId="44" fontId="51" fillId="0" borderId="0" xfId="0" applyNumberFormat="1" applyFont="1"/>
    <xf numFmtId="0" fontId="51" fillId="0" borderId="0" xfId="0" applyNumberFormat="1" applyFont="1"/>
    <xf numFmtId="0" fontId="2" fillId="0" borderId="39" xfId="0" applyFont="1" applyBorder="1"/>
    <xf numFmtId="0" fontId="2" fillId="0" borderId="23" xfId="0" applyFont="1" applyBorder="1"/>
    <xf numFmtId="44" fontId="2" fillId="0" borderId="23" xfId="0" applyNumberFormat="1" applyFont="1" applyBorder="1"/>
    <xf numFmtId="0" fontId="2" fillId="24" borderId="39" xfId="0" applyFont="1" applyFill="1" applyBorder="1"/>
    <xf numFmtId="0" fontId="2" fillId="24" borderId="23" xfId="0" applyFont="1" applyFill="1" applyBorder="1"/>
    <xf numFmtId="0" fontId="35" fillId="0" borderId="0" xfId="0" applyFont="1"/>
    <xf numFmtId="0" fontId="0" fillId="0" borderId="0" xfId="0" applyAlignment="1">
      <alignment horizontal="center" wrapText="1"/>
    </xf>
    <xf numFmtId="0" fontId="6" fillId="25" borderId="78" xfId="0" applyFont="1" applyFill="1" applyBorder="1" applyAlignment="1">
      <alignment horizontal="center" wrapText="1"/>
    </xf>
    <xf numFmtId="0" fontId="0" fillId="0" borderId="79" xfId="0" applyBorder="1"/>
    <xf numFmtId="44" fontId="51" fillId="0" borderId="76" xfId="1" applyFont="1" applyBorder="1"/>
    <xf numFmtId="44" fontId="2" fillId="0" borderId="76" xfId="1" applyFont="1" applyBorder="1"/>
    <xf numFmtId="44" fontId="2" fillId="0" borderId="0" xfId="1" applyFont="1" applyBorder="1"/>
    <xf numFmtId="0" fontId="1" fillId="0" borderId="76" xfId="0" applyNumberFormat="1" applyFont="1" applyBorder="1"/>
    <xf numFmtId="44" fontId="2" fillId="24" borderId="23" xfId="0" applyNumberFormat="1" applyFont="1" applyFill="1" applyBorder="1"/>
    <xf numFmtId="0" fontId="6" fillId="3" borderId="8" xfId="0" applyFont="1" applyFill="1" applyBorder="1" applyAlignment="1">
      <alignment horizontal="center" vertical="center" wrapText="1"/>
    </xf>
    <xf numFmtId="44" fontId="2" fillId="5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44" fontId="8" fillId="26" borderId="46" xfId="1" applyFont="1" applyFill="1" applyBorder="1" applyAlignment="1">
      <alignment vertical="center"/>
    </xf>
    <xf numFmtId="166" fontId="2" fillId="26" borderId="20" xfId="0" applyNumberFormat="1" applyFont="1" applyFill="1" applyBorder="1" applyAlignment="1">
      <alignment vertical="center"/>
    </xf>
    <xf numFmtId="0" fontId="2" fillId="26" borderId="22" xfId="0" applyFont="1" applyFill="1" applyBorder="1" applyAlignment="1">
      <alignment horizontal="center" vertical="center" wrapText="1"/>
    </xf>
    <xf numFmtId="44" fontId="0" fillId="0" borderId="24" xfId="1" applyFont="1" applyFill="1" applyBorder="1" applyAlignment="1">
      <alignment vertical="center"/>
    </xf>
    <xf numFmtId="44" fontId="0" fillId="0" borderId="6" xfId="1" applyFont="1" applyFill="1" applyBorder="1" applyAlignment="1">
      <alignment vertical="center"/>
    </xf>
    <xf numFmtId="166" fontId="51" fillId="0" borderId="5" xfId="0" applyNumberFormat="1" applyFont="1" applyFill="1" applyBorder="1" applyAlignment="1">
      <alignment vertical="center"/>
    </xf>
    <xf numFmtId="166" fontId="1" fillId="0" borderId="5" xfId="0" applyNumberFormat="1" applyFont="1" applyFill="1" applyBorder="1" applyAlignment="1">
      <alignment vertical="center"/>
    </xf>
    <xf numFmtId="166" fontId="54" fillId="0" borderId="5" xfId="0" applyNumberFormat="1" applyFont="1" applyFill="1" applyBorder="1" applyAlignment="1">
      <alignment vertical="center"/>
    </xf>
    <xf numFmtId="4" fontId="14" fillId="0" borderId="5" xfId="0" applyNumberFormat="1" applyFont="1" applyBorder="1" applyAlignment="1">
      <alignment horizontal="left" vertical="top" wrapText="1"/>
    </xf>
    <xf numFmtId="166" fontId="54" fillId="0" borderId="0" xfId="0" applyNumberFormat="1" applyFont="1" applyFill="1" applyBorder="1" applyAlignment="1">
      <alignment vertical="center"/>
    </xf>
    <xf numFmtId="166" fontId="8" fillId="26" borderId="20" xfId="0" applyNumberFormat="1" applyFont="1" applyFill="1" applyBorder="1" applyAlignment="1">
      <alignment vertical="center"/>
    </xf>
    <xf numFmtId="166" fontId="2" fillId="26" borderId="0" xfId="0" applyNumberFormat="1" applyFont="1" applyFill="1" applyBorder="1" applyAlignment="1">
      <alignment vertical="center"/>
    </xf>
    <xf numFmtId="166" fontId="51" fillId="0" borderId="0" xfId="0" applyNumberFormat="1" applyFont="1" applyFill="1" applyBorder="1" applyAlignment="1">
      <alignment vertical="center"/>
    </xf>
    <xf numFmtId="0" fontId="6" fillId="3" borderId="80" xfId="0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left" wrapText="1"/>
    </xf>
    <xf numFmtId="0" fontId="0" fillId="0" borderId="0" xfId="0"/>
    <xf numFmtId="0" fontId="2" fillId="0" borderId="0" xfId="0" applyFont="1"/>
    <xf numFmtId="14" fontId="0" fillId="0" borderId="0" xfId="0" applyNumberFormat="1" applyFill="1" applyAlignment="1">
      <alignment wrapText="1"/>
    </xf>
    <xf numFmtId="4" fontId="14" fillId="0" borderId="5" xfId="0" applyNumberFormat="1" applyFont="1" applyBorder="1" applyAlignment="1">
      <alignment horizontal="left" wrapText="1"/>
    </xf>
    <xf numFmtId="0" fontId="2" fillId="26" borderId="3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wrapText="1"/>
      <protection locked="0"/>
    </xf>
    <xf numFmtId="4" fontId="22" fillId="26" borderId="20" xfId="0" applyNumberFormat="1" applyFont="1" applyFill="1" applyBorder="1" applyAlignment="1">
      <alignment horizontal="left" wrapText="1"/>
    </xf>
    <xf numFmtId="166" fontId="53" fillId="26" borderId="20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wrapText="1"/>
    </xf>
    <xf numFmtId="4" fontId="14" fillId="0" borderId="83" xfId="0" applyNumberFormat="1" applyFont="1" applyBorder="1" applyAlignment="1">
      <alignment horizontal="left" wrapText="1"/>
    </xf>
    <xf numFmtId="166" fontId="54" fillId="0" borderId="83" xfId="0" applyNumberFormat="1" applyFont="1" applyFill="1" applyBorder="1" applyAlignment="1">
      <alignment vertical="center"/>
    </xf>
    <xf numFmtId="166" fontId="1" fillId="0" borderId="83" xfId="0" applyNumberFormat="1" applyFont="1" applyFill="1" applyBorder="1" applyAlignment="1">
      <alignment vertical="center"/>
    </xf>
    <xf numFmtId="166" fontId="51" fillId="0" borderId="83" xfId="0" applyNumberFormat="1" applyFont="1" applyFill="1" applyBorder="1" applyAlignment="1">
      <alignment vertical="center"/>
    </xf>
    <xf numFmtId="166" fontId="0" fillId="0" borderId="83" xfId="0" applyNumberFormat="1" applyFont="1" applyFill="1" applyBorder="1" applyAlignment="1">
      <alignment vertical="center"/>
    </xf>
    <xf numFmtId="4" fontId="22" fillId="26" borderId="0" xfId="0" applyNumberFormat="1" applyFont="1" applyFill="1" applyBorder="1" applyAlignment="1">
      <alignment horizontal="left" wrapText="1"/>
    </xf>
    <xf numFmtId="166" fontId="53" fillId="26" borderId="0" xfId="0" applyNumberFormat="1" applyFont="1" applyFill="1" applyBorder="1" applyAlignment="1">
      <alignment vertical="center"/>
    </xf>
    <xf numFmtId="166" fontId="8" fillId="26" borderId="0" xfId="0" applyNumberFormat="1" applyFont="1" applyFill="1" applyBorder="1" applyAlignment="1">
      <alignment vertical="center"/>
    </xf>
    <xf numFmtId="44" fontId="8" fillId="26" borderId="24" xfId="1" applyFont="1" applyFill="1" applyBorder="1" applyAlignment="1">
      <alignment vertical="center"/>
    </xf>
    <xf numFmtId="166" fontId="0" fillId="0" borderId="5" xfId="0" applyNumberFormat="1" applyFont="1" applyFill="1" applyBorder="1" applyAlignment="1">
      <alignment vertical="center"/>
    </xf>
    <xf numFmtId="44" fontId="0" fillId="0" borderId="84" xfId="1" applyFont="1" applyFill="1" applyBorder="1" applyAlignment="1">
      <alignment vertical="center"/>
    </xf>
    <xf numFmtId="0" fontId="2" fillId="26" borderId="21" xfId="0" applyFont="1" applyFill="1" applyBorder="1" applyAlignment="1">
      <alignment horizontal="center" vertical="center" wrapText="1"/>
    </xf>
    <xf numFmtId="166" fontId="56" fillId="0" borderId="83" xfId="0" applyNumberFormat="1" applyFont="1" applyFill="1" applyBorder="1" applyAlignment="1">
      <alignment vertical="center"/>
    </xf>
    <xf numFmtId="44" fontId="51" fillId="0" borderId="84" xfId="1" applyFont="1" applyFill="1" applyBorder="1" applyAlignment="1">
      <alignment vertical="center"/>
    </xf>
    <xf numFmtId="0" fontId="2" fillId="0" borderId="85" xfId="0" applyFont="1" applyFill="1" applyBorder="1" applyAlignment="1">
      <alignment horizontal="center" vertical="center" wrapText="1"/>
    </xf>
    <xf numFmtId="4" fontId="14" fillId="0" borderId="87" xfId="0" applyNumberFormat="1" applyFont="1" applyBorder="1" applyAlignment="1">
      <alignment horizontal="left" wrapText="1"/>
    </xf>
    <xf numFmtId="166" fontId="54" fillId="0" borderId="87" xfId="0" applyNumberFormat="1" applyFont="1" applyFill="1" applyBorder="1" applyAlignment="1">
      <alignment vertical="center"/>
    </xf>
    <xf numFmtId="166" fontId="1" fillId="0" borderId="87" xfId="0" applyNumberFormat="1" applyFont="1" applyFill="1" applyBorder="1" applyAlignment="1">
      <alignment vertical="center"/>
    </xf>
    <xf numFmtId="166" fontId="51" fillId="0" borderId="87" xfId="0" applyNumberFormat="1" applyFont="1" applyFill="1" applyBorder="1" applyAlignment="1">
      <alignment vertical="center"/>
    </xf>
    <xf numFmtId="44" fontId="0" fillId="0" borderId="88" xfId="1" applyFont="1" applyFill="1" applyBorder="1" applyAlignment="1">
      <alignment vertical="center"/>
    </xf>
    <xf numFmtId="0" fontId="35" fillId="0" borderId="0" xfId="0" applyFont="1" applyAlignment="1" applyProtection="1">
      <alignment wrapText="1"/>
      <protection locked="0"/>
    </xf>
    <xf numFmtId="0" fontId="8" fillId="19" borderId="81" xfId="0" applyFont="1" applyFill="1" applyBorder="1" applyAlignment="1">
      <alignment horizontal="left" wrapText="1"/>
    </xf>
    <xf numFmtId="0" fontId="8" fillId="19" borderId="0" xfId="0" applyFont="1" applyFill="1" applyAlignment="1">
      <alignment horizontal="left" wrapText="1"/>
    </xf>
    <xf numFmtId="166" fontId="57" fillId="19" borderId="0" xfId="0" applyNumberFormat="1" applyFont="1" applyFill="1" applyAlignment="1">
      <alignment vertical="center"/>
    </xf>
    <xf numFmtId="166" fontId="8" fillId="19" borderId="0" xfId="0" applyNumberFormat="1" applyFont="1" applyFill="1" applyAlignment="1">
      <alignment vertical="center"/>
    </xf>
    <xf numFmtId="44" fontId="8" fillId="19" borderId="0" xfId="0" applyNumberFormat="1" applyFont="1" applyFill="1"/>
    <xf numFmtId="44" fontId="14" fillId="0" borderId="0" xfId="1" applyFont="1"/>
    <xf numFmtId="44" fontId="22" fillId="0" borderId="0" xfId="1" applyFont="1"/>
    <xf numFmtId="44" fontId="22" fillId="0" borderId="0" xfId="0" applyNumberFormat="1" applyFont="1"/>
    <xf numFmtId="0" fontId="14" fillId="0" borderId="0" xfId="0" applyFont="1" applyAlignment="1">
      <alignment horizontal="center" vertical="center"/>
    </xf>
    <xf numFmtId="0" fontId="22" fillId="9" borderId="0" xfId="0" applyFont="1" applyFill="1" applyBorder="1" applyAlignment="1">
      <alignment vertical="center" wrapText="1"/>
    </xf>
    <xf numFmtId="0" fontId="27" fillId="3" borderId="64" xfId="0" applyFont="1" applyFill="1" applyBorder="1" applyAlignment="1">
      <alignment horizontal="center" vertical="center" wrapText="1"/>
    </xf>
    <xf numFmtId="0" fontId="27" fillId="3" borderId="72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 wrapText="1"/>
    </xf>
    <xf numFmtId="0" fontId="27" fillId="3" borderId="89" xfId="0" applyFont="1" applyFill="1" applyBorder="1" applyAlignment="1">
      <alignment horizontal="center" vertical="center" wrapText="1"/>
    </xf>
    <xf numFmtId="166" fontId="0" fillId="19" borderId="90" xfId="0" applyNumberFormat="1" applyFont="1" applyFill="1" applyBorder="1" applyAlignment="1">
      <alignment vertical="center"/>
    </xf>
    <xf numFmtId="166" fontId="0" fillId="19" borderId="47" xfId="0" applyNumberFormat="1" applyFont="1" applyFill="1" applyBorder="1" applyAlignment="1">
      <alignment vertical="center"/>
    </xf>
    <xf numFmtId="0" fontId="27" fillId="9" borderId="79" xfId="0" applyFont="1" applyFill="1" applyBorder="1" applyAlignment="1">
      <alignment vertical="center" wrapText="1"/>
    </xf>
    <xf numFmtId="44" fontId="14" fillId="0" borderId="28" xfId="0" applyNumberFormat="1" applyFont="1" applyFill="1" applyBorder="1" applyAlignment="1">
      <alignment horizontal="center" vertical="center"/>
    </xf>
    <xf numFmtId="44" fontId="14" fillId="0" borderId="3" xfId="0" applyNumberFormat="1" applyFont="1" applyFill="1" applyBorder="1" applyAlignment="1">
      <alignment horizontal="center" vertical="center"/>
    </xf>
    <xf numFmtId="44" fontId="14" fillId="0" borderId="56" xfId="0" applyNumberFormat="1" applyFont="1" applyFill="1" applyBorder="1" applyAlignment="1">
      <alignment horizontal="center" vertical="center"/>
    </xf>
    <xf numFmtId="44" fontId="14" fillId="0" borderId="57" xfId="0" applyNumberFormat="1" applyFont="1" applyFill="1" applyBorder="1" applyAlignment="1">
      <alignment horizontal="center" vertical="center"/>
    </xf>
    <xf numFmtId="0" fontId="27" fillId="9" borderId="39" xfId="0" applyFont="1" applyFill="1" applyBorder="1" applyAlignment="1">
      <alignment horizontal="center" vertical="center" wrapText="1"/>
    </xf>
    <xf numFmtId="44" fontId="14" fillId="0" borderId="74" xfId="0" applyNumberFormat="1" applyFont="1" applyFill="1" applyBorder="1" applyAlignment="1">
      <alignment horizontal="center" vertical="center"/>
    </xf>
    <xf numFmtId="44" fontId="14" fillId="0" borderId="91" xfId="0" applyNumberFormat="1" applyFont="1" applyFill="1" applyBorder="1" applyAlignment="1">
      <alignment horizontal="center" vertical="center"/>
    </xf>
    <xf numFmtId="44" fontId="55" fillId="0" borderId="56" xfId="0" applyNumberFormat="1" applyFont="1" applyFill="1" applyBorder="1" applyAlignment="1">
      <alignment horizontal="center" vertical="center"/>
    </xf>
    <xf numFmtId="166" fontId="1" fillId="0" borderId="71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>
      <alignment horizontal="left" wrapText="1"/>
    </xf>
    <xf numFmtId="166" fontId="1" fillId="0" borderId="92" xfId="0" applyNumberFormat="1" applyFont="1" applyFill="1" applyBorder="1" applyAlignment="1">
      <alignment vertical="center" wrapText="1"/>
    </xf>
    <xf numFmtId="4" fontId="0" fillId="0" borderId="71" xfId="0" applyNumberFormat="1" applyFont="1" applyBorder="1" applyAlignment="1">
      <alignment horizontal="left" wrapText="1"/>
    </xf>
    <xf numFmtId="4" fontId="0" fillId="0" borderId="93" xfId="0" applyNumberFormat="1" applyFont="1" applyBorder="1" applyAlignment="1">
      <alignment horizontal="left" wrapText="1"/>
    </xf>
    <xf numFmtId="4" fontId="0" fillId="0" borderId="92" xfId="0" applyNumberFormat="1" applyFont="1" applyBorder="1" applyAlignment="1">
      <alignment horizontal="left" wrapText="1"/>
    </xf>
    <xf numFmtId="166" fontId="1" fillId="0" borderId="2" xfId="0" applyNumberFormat="1" applyFont="1" applyFill="1" applyBorder="1" applyAlignment="1">
      <alignment vertical="center"/>
    </xf>
    <xf numFmtId="166" fontId="1" fillId="0" borderId="53" xfId="0" applyNumberFormat="1" applyFont="1" applyFill="1" applyBorder="1" applyAlignment="1">
      <alignment vertical="center"/>
    </xf>
    <xf numFmtId="166" fontId="1" fillId="0" borderId="55" xfId="0" applyNumberFormat="1" applyFont="1" applyFill="1" applyBorder="1" applyAlignment="1">
      <alignment vertical="center"/>
    </xf>
    <xf numFmtId="166" fontId="1" fillId="0" borderId="97" xfId="0" applyNumberFormat="1" applyFont="1" applyFill="1" applyBorder="1" applyAlignment="1">
      <alignment vertical="center"/>
    </xf>
    <xf numFmtId="0" fontId="27" fillId="3" borderId="98" xfId="0" applyFont="1" applyFill="1" applyBorder="1" applyAlignment="1">
      <alignment horizontal="center" vertical="center" wrapText="1"/>
    </xf>
    <xf numFmtId="166" fontId="14" fillId="0" borderId="94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95" xfId="0" applyNumberFormat="1" applyFont="1" applyFill="1" applyBorder="1" applyAlignment="1">
      <alignment horizontal="center" vertical="center"/>
    </xf>
    <xf numFmtId="166" fontId="14" fillId="0" borderId="96" xfId="0" applyNumberFormat="1" applyFont="1" applyFill="1" applyBorder="1" applyAlignment="1">
      <alignment horizontal="center" vertical="center"/>
    </xf>
    <xf numFmtId="166" fontId="14" fillId="19" borderId="99" xfId="0" applyNumberFormat="1" applyFont="1" applyFill="1" applyBorder="1" applyAlignment="1">
      <alignment horizontal="center" vertical="center"/>
    </xf>
    <xf numFmtId="44" fontId="14" fillId="0" borderId="2" xfId="0" applyNumberFormat="1" applyFont="1" applyFill="1" applyBorder="1" applyAlignment="1">
      <alignment horizontal="center" vertical="center"/>
    </xf>
    <xf numFmtId="44" fontId="14" fillId="0" borderId="55" xfId="0" applyNumberFormat="1" applyFont="1" applyFill="1" applyBorder="1" applyAlignment="1">
      <alignment horizontal="center" vertical="center"/>
    </xf>
    <xf numFmtId="44" fontId="14" fillId="0" borderId="97" xfId="0" applyNumberFormat="1" applyFont="1" applyFill="1" applyBorder="1" applyAlignment="1">
      <alignment horizontal="center" vertical="center"/>
    </xf>
    <xf numFmtId="44" fontId="55" fillId="0" borderId="55" xfId="0" applyNumberFormat="1" applyFont="1" applyFill="1" applyBorder="1" applyAlignment="1">
      <alignment horizontal="center" vertical="center"/>
    </xf>
    <xf numFmtId="44" fontId="55" fillId="0" borderId="57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25" borderId="77" xfId="0" applyFont="1" applyFill="1" applyBorder="1" applyAlignment="1">
      <alignment wrapText="1"/>
    </xf>
    <xf numFmtId="0" fontId="11" fillId="3" borderId="0" xfId="0" applyFont="1" applyFill="1" applyAlignment="1">
      <alignment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 applyFont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 vertical="center"/>
    </xf>
    <xf numFmtId="0" fontId="0" fillId="0" borderId="42" xfId="0" applyFill="1" applyBorder="1"/>
    <xf numFmtId="4" fontId="0" fillId="0" borderId="42" xfId="0" applyNumberFormat="1" applyFont="1" applyBorder="1" applyAlignment="1">
      <alignment horizontal="left" wrapText="1"/>
    </xf>
    <xf numFmtId="44" fontId="0" fillId="0" borderId="42" xfId="1" applyFont="1" applyFill="1" applyBorder="1"/>
    <xf numFmtId="4" fontId="0" fillId="0" borderId="101" xfId="0" applyNumberFormat="1" applyFont="1" applyBorder="1" applyAlignment="1">
      <alignment horizontal="left" vertical="top" wrapText="1"/>
    </xf>
    <xf numFmtId="0" fontId="0" fillId="0" borderId="101" xfId="0" applyFill="1" applyBorder="1"/>
    <xf numFmtId="0" fontId="0" fillId="0" borderId="102" xfId="0" applyFill="1" applyBorder="1"/>
    <xf numFmtId="0" fontId="0" fillId="0" borderId="104" xfId="0" applyFill="1" applyBorder="1"/>
    <xf numFmtId="4" fontId="0" fillId="0" borderId="106" xfId="0" applyNumberFormat="1" applyFont="1" applyBorder="1" applyAlignment="1">
      <alignment horizontal="left" wrapText="1"/>
    </xf>
    <xf numFmtId="4" fontId="4" fillId="0" borderId="106" xfId="0" applyNumberFormat="1" applyFont="1" applyBorder="1" applyAlignment="1">
      <alignment horizontal="center" vertical="center"/>
    </xf>
    <xf numFmtId="0" fontId="0" fillId="0" borderId="106" xfId="0" applyFill="1" applyBorder="1" applyAlignment="1">
      <alignment horizontal="center"/>
    </xf>
    <xf numFmtId="44" fontId="4" fillId="0" borderId="106" xfId="1" applyFont="1" applyFill="1" applyBorder="1" applyAlignment="1">
      <alignment horizontal="center" vertical="center"/>
    </xf>
    <xf numFmtId="44" fontId="4" fillId="0" borderId="107" xfId="1" applyFont="1" applyFill="1" applyBorder="1" applyAlignment="1">
      <alignment horizontal="center" vertical="center"/>
    </xf>
    <xf numFmtId="0" fontId="0" fillId="0" borderId="108" xfId="0" applyFill="1" applyBorder="1"/>
    <xf numFmtId="44" fontId="14" fillId="0" borderId="109" xfId="1" applyFont="1" applyFill="1" applyBorder="1"/>
    <xf numFmtId="0" fontId="0" fillId="0" borderId="110" xfId="0" applyBorder="1"/>
    <xf numFmtId="0" fontId="11" fillId="3" borderId="113" xfId="0" applyFont="1" applyFill="1" applyBorder="1" applyAlignment="1">
      <alignment horizontal="center" vertical="center" wrapText="1"/>
    </xf>
    <xf numFmtId="0" fontId="11" fillId="3" borderId="114" xfId="0" applyFont="1" applyFill="1" applyBorder="1" applyAlignment="1">
      <alignment horizontal="center" vertical="center" wrapText="1"/>
    </xf>
    <xf numFmtId="0" fontId="11" fillId="3" borderId="115" xfId="0" applyFont="1" applyFill="1" applyBorder="1" applyAlignment="1">
      <alignment horizontal="center" vertical="center" wrapText="1"/>
    </xf>
    <xf numFmtId="0" fontId="0" fillId="0" borderId="100" xfId="0" applyFill="1" applyBorder="1"/>
    <xf numFmtId="2" fontId="0" fillId="0" borderId="103" xfId="0" applyNumberFormat="1" applyFill="1" applyBorder="1" applyAlignment="1">
      <alignment horizontal="center"/>
    </xf>
    <xf numFmtId="0" fontId="0" fillId="0" borderId="105" xfId="0" applyFill="1" applyBorder="1" applyAlignment="1">
      <alignment horizontal="center"/>
    </xf>
    <xf numFmtId="4" fontId="4" fillId="0" borderId="107" xfId="0" applyNumberFormat="1" applyFont="1" applyBorder="1" applyAlignment="1">
      <alignment horizontal="center" vertical="center"/>
    </xf>
    <xf numFmtId="4" fontId="4" fillId="0" borderId="117" xfId="0" applyNumberFormat="1" applyFont="1" applyBorder="1" applyAlignment="1">
      <alignment horizontal="center" vertical="center"/>
    </xf>
    <xf numFmtId="4" fontId="4" fillId="0" borderId="118" xfId="0" applyNumberFormat="1" applyFont="1" applyBorder="1" applyAlignment="1">
      <alignment horizontal="center" vertical="center"/>
    </xf>
    <xf numFmtId="4" fontId="4" fillId="0" borderId="112" xfId="0" applyNumberFormat="1" applyFont="1" applyFill="1" applyBorder="1" applyAlignment="1">
      <alignment horizontal="center" vertical="center"/>
    </xf>
    <xf numFmtId="0" fontId="0" fillId="0" borderId="103" xfId="0" applyFill="1" applyBorder="1"/>
    <xf numFmtId="4" fontId="4" fillId="0" borderId="105" xfId="0" applyNumberFormat="1" applyFont="1" applyFill="1" applyBorder="1" applyAlignment="1">
      <alignment horizontal="center" vertical="center"/>
    </xf>
    <xf numFmtId="166" fontId="0" fillId="0" borderId="109" xfId="0" applyNumberFormat="1" applyFill="1" applyBorder="1"/>
    <xf numFmtId="4" fontId="4" fillId="0" borderId="110" xfId="0" applyNumberFormat="1" applyFont="1" applyBorder="1" applyAlignment="1">
      <alignment horizontal="center" vertical="center"/>
    </xf>
    <xf numFmtId="4" fontId="0" fillId="0" borderId="101" xfId="0" applyNumberFormat="1" applyFont="1" applyBorder="1" applyAlignment="1">
      <alignment horizontal="left" wrapText="1"/>
    </xf>
    <xf numFmtId="44" fontId="4" fillId="0" borderId="101" xfId="1" applyFont="1" applyFill="1" applyBorder="1" applyAlignment="1">
      <alignment horizontal="center" vertical="center"/>
    </xf>
    <xf numFmtId="0" fontId="2" fillId="0" borderId="101" xfId="0" applyFont="1" applyBorder="1"/>
    <xf numFmtId="0" fontId="2" fillId="0" borderId="102" xfId="0" applyFont="1" applyBorder="1"/>
    <xf numFmtId="166" fontId="4" fillId="0" borderId="107" xfId="0" applyNumberFormat="1" applyFont="1" applyBorder="1" applyAlignment="1">
      <alignment horizontal="right" vertical="center"/>
    </xf>
    <xf numFmtId="4" fontId="0" fillId="0" borderId="121" xfId="0" applyNumberFormat="1" applyFont="1" applyBorder="1" applyAlignment="1">
      <alignment horizontal="left" wrapText="1"/>
    </xf>
    <xf numFmtId="0" fontId="0" fillId="0" borderId="122" xfId="0" applyBorder="1"/>
    <xf numFmtId="171" fontId="0" fillId="5" borderId="0" xfId="0" applyNumberFormat="1" applyFill="1" applyBorder="1" applyAlignment="1">
      <alignment wrapText="1"/>
    </xf>
    <xf numFmtId="171" fontId="4" fillId="0" borderId="123" xfId="0" applyNumberFormat="1" applyFont="1" applyBorder="1" applyAlignment="1">
      <alignment horizontal="right" vertical="center"/>
    </xf>
    <xf numFmtId="171" fontId="2" fillId="19" borderId="0" xfId="0" applyNumberFormat="1" applyFont="1" applyFill="1" applyBorder="1" applyAlignment="1">
      <alignment horizontal="center"/>
    </xf>
    <xf numFmtId="0" fontId="0" fillId="0" borderId="120" xfId="0" applyFont="1" applyBorder="1" applyAlignment="1" applyProtection="1">
      <alignment horizontal="center" vertical="center"/>
      <protection locked="0"/>
    </xf>
    <xf numFmtId="166" fontId="4" fillId="0" borderId="102" xfId="0" applyNumberFormat="1" applyFont="1" applyBorder="1" applyAlignment="1">
      <alignment horizontal="right" vertical="center"/>
    </xf>
    <xf numFmtId="166" fontId="4" fillId="0" borderId="106" xfId="0" applyNumberFormat="1" applyFont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 wrapText="1"/>
    </xf>
    <xf numFmtId="166" fontId="4" fillId="0" borderId="124" xfId="0" applyNumberFormat="1" applyFont="1" applyBorder="1" applyAlignment="1">
      <alignment horizontal="right" vertical="center"/>
    </xf>
    <xf numFmtId="0" fontId="11" fillId="3" borderId="120" xfId="0" applyFont="1" applyFill="1" applyBorder="1" applyAlignment="1">
      <alignment horizontal="center" vertical="center" wrapText="1"/>
    </xf>
    <xf numFmtId="0" fontId="11" fillId="3" borderId="125" xfId="0" applyFont="1" applyFill="1" applyBorder="1" applyAlignment="1">
      <alignment horizontal="center" vertical="center" wrapText="1"/>
    </xf>
    <xf numFmtId="0" fontId="11" fillId="3" borderId="123" xfId="0" applyFont="1" applyFill="1" applyBorder="1" applyAlignment="1">
      <alignment horizontal="center" vertical="center" wrapText="1"/>
    </xf>
    <xf numFmtId="4" fontId="4" fillId="0" borderId="100" xfId="0" applyNumberFormat="1" applyFont="1" applyBorder="1" applyAlignment="1">
      <alignment horizontal="center" vertical="center"/>
    </xf>
    <xf numFmtId="4" fontId="4" fillId="0" borderId="105" xfId="0" applyNumberFormat="1" applyFont="1" applyBorder="1" applyAlignment="1">
      <alignment horizontal="center" vertical="center"/>
    </xf>
    <xf numFmtId="0" fontId="0" fillId="0" borderId="108" xfId="0" applyBorder="1"/>
    <xf numFmtId="166" fontId="4" fillId="0" borderId="111" xfId="0" applyNumberFormat="1" applyFont="1" applyBorder="1" applyAlignment="1">
      <alignment horizontal="right" vertical="center"/>
    </xf>
    <xf numFmtId="2" fontId="4" fillId="0" borderId="126" xfId="0" applyNumberFormat="1" applyFont="1" applyBorder="1" applyAlignment="1">
      <alignment horizontal="right" vertical="center"/>
    </xf>
    <xf numFmtId="166" fontId="4" fillId="0" borderId="127" xfId="0" applyNumberFormat="1" applyFont="1" applyBorder="1" applyAlignment="1">
      <alignment horizontal="right" vertical="center"/>
    </xf>
    <xf numFmtId="2" fontId="4" fillId="0" borderId="112" xfId="0" applyNumberFormat="1" applyFont="1" applyBorder="1" applyAlignment="1">
      <alignment horizontal="right" vertical="center"/>
    </xf>
    <xf numFmtId="166" fontId="4" fillId="0" borderId="128" xfId="0" applyNumberFormat="1" applyFont="1" applyBorder="1" applyAlignment="1">
      <alignment horizontal="right" vertical="center"/>
    </xf>
    <xf numFmtId="166" fontId="4" fillId="17" borderId="101" xfId="0" applyNumberFormat="1" applyFont="1" applyFill="1" applyBorder="1" applyAlignment="1">
      <alignment horizontal="right" vertical="center"/>
    </xf>
    <xf numFmtId="166" fontId="4" fillId="17" borderId="102" xfId="0" applyNumberFormat="1" applyFont="1" applyFill="1" applyBorder="1" applyAlignment="1">
      <alignment horizontal="right" vertical="center"/>
    </xf>
    <xf numFmtId="166" fontId="4" fillId="17" borderId="106" xfId="0" applyNumberFormat="1" applyFont="1" applyFill="1" applyBorder="1" applyAlignment="1">
      <alignment horizontal="right" vertical="center"/>
    </xf>
    <xf numFmtId="166" fontId="4" fillId="17" borderId="107" xfId="0" applyNumberFormat="1" applyFont="1" applyFill="1" applyBorder="1" applyAlignment="1">
      <alignment horizontal="right" vertical="center"/>
    </xf>
    <xf numFmtId="2" fontId="4" fillId="17" borderId="100" xfId="0" applyNumberFormat="1" applyFont="1" applyFill="1" applyBorder="1" applyAlignment="1">
      <alignment horizontal="center" vertical="center"/>
    </xf>
    <xf numFmtId="2" fontId="4" fillId="17" borderId="105" xfId="0" applyNumberFormat="1" applyFont="1" applyFill="1" applyBorder="1" applyAlignment="1">
      <alignment horizontal="center" vertical="center"/>
    </xf>
    <xf numFmtId="166" fontId="4" fillId="17" borderId="111" xfId="0" applyNumberFormat="1" applyFont="1" applyFill="1" applyBorder="1" applyAlignment="1">
      <alignment horizontal="right" vertical="center"/>
    </xf>
    <xf numFmtId="2" fontId="4" fillId="17" borderId="112" xfId="0" applyNumberFormat="1" applyFont="1" applyFill="1" applyBorder="1" applyAlignment="1">
      <alignment horizontal="right" vertical="center"/>
    </xf>
    <xf numFmtId="0" fontId="0" fillId="0" borderId="129" xfId="0" applyBorder="1" applyAlignment="1">
      <alignment wrapText="1"/>
    </xf>
    <xf numFmtId="0" fontId="0" fillId="5" borderId="13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0" fillId="5" borderId="130" xfId="0" applyFill="1" applyBorder="1" applyAlignment="1">
      <alignment horizontal="left"/>
    </xf>
    <xf numFmtId="0" fontId="11" fillId="3" borderId="13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166" fontId="2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166" fontId="5" fillId="9" borderId="0" xfId="0" applyNumberFormat="1" applyFont="1" applyFill="1" applyBorder="1" applyAlignment="1">
      <alignment horizontal="center"/>
    </xf>
    <xf numFmtId="166" fontId="5" fillId="19" borderId="0" xfId="0" applyNumberFormat="1" applyFont="1" applyFill="1" applyBorder="1" applyAlignment="1">
      <alignment horizontal="center"/>
    </xf>
    <xf numFmtId="4" fontId="5" fillId="19" borderId="0" xfId="0" applyNumberFormat="1" applyFont="1" applyFill="1" applyBorder="1" applyAlignment="1">
      <alignment horizontal="center" vertical="center"/>
    </xf>
    <xf numFmtId="166" fontId="4" fillId="0" borderId="116" xfId="1" applyNumberFormat="1" applyFont="1" applyBorder="1" applyAlignment="1">
      <alignment horizontal="right" vertical="center"/>
    </xf>
    <xf numFmtId="171" fontId="2" fillId="5" borderId="0" xfId="0" applyNumberFormat="1" applyFont="1" applyFill="1" applyBorder="1" applyAlignment="1">
      <alignment wrapText="1"/>
    </xf>
    <xf numFmtId="166" fontId="2" fillId="19" borderId="0" xfId="0" applyNumberFormat="1" applyFont="1" applyFill="1" applyProtection="1">
      <protection locked="0"/>
    </xf>
    <xf numFmtId="166" fontId="1" fillId="0" borderId="0" xfId="0" applyNumberFormat="1" applyFont="1"/>
    <xf numFmtId="166" fontId="4" fillId="0" borderId="107" xfId="1" applyNumberFormat="1" applyFont="1" applyFill="1" applyBorder="1" applyAlignment="1">
      <alignment horizontal="right" vertical="center"/>
    </xf>
    <xf numFmtId="2" fontId="0" fillId="0" borderId="13" xfId="0" applyNumberFormat="1" applyFill="1" applyBorder="1"/>
    <xf numFmtId="0" fontId="11" fillId="27" borderId="0" xfId="0" applyFont="1" applyFill="1" applyAlignment="1">
      <alignment vertical="center" wrapText="1"/>
    </xf>
    <xf numFmtId="0" fontId="11" fillId="27" borderId="113" xfId="0" applyFont="1" applyFill="1" applyBorder="1" applyAlignment="1">
      <alignment horizontal="center" vertical="center" wrapText="1"/>
    </xf>
    <xf numFmtId="0" fontId="11" fillId="27" borderId="114" xfId="0" applyFont="1" applyFill="1" applyBorder="1" applyAlignment="1">
      <alignment horizontal="center" vertical="center" wrapText="1"/>
    </xf>
    <xf numFmtId="0" fontId="11" fillId="27" borderId="115" xfId="0" applyFont="1" applyFill="1" applyBorder="1" applyAlignment="1">
      <alignment horizontal="center" vertical="center" wrapText="1"/>
    </xf>
    <xf numFmtId="0" fontId="11" fillId="27" borderId="5" xfId="0" applyFont="1" applyFill="1" applyBorder="1" applyAlignment="1">
      <alignment horizontal="center" vertical="center" wrapText="1"/>
    </xf>
    <xf numFmtId="0" fontId="11" fillId="27" borderId="6" xfId="0" applyFont="1" applyFill="1" applyBorder="1" applyAlignment="1">
      <alignment horizontal="center" vertical="center" wrapText="1"/>
    </xf>
    <xf numFmtId="0" fontId="11" fillId="27" borderId="4" xfId="0" applyFont="1" applyFill="1" applyBorder="1" applyAlignment="1">
      <alignment horizontal="center" vertical="center" wrapText="1"/>
    </xf>
    <xf numFmtId="0" fontId="11" fillId="27" borderId="120" xfId="0" applyFont="1" applyFill="1" applyBorder="1" applyAlignment="1">
      <alignment horizontal="center" vertical="center" wrapText="1"/>
    </xf>
    <xf numFmtId="0" fontId="11" fillId="27" borderId="125" xfId="0" applyFont="1" applyFill="1" applyBorder="1" applyAlignment="1">
      <alignment horizontal="center" vertical="center" wrapText="1"/>
    </xf>
    <xf numFmtId="0" fontId="11" fillId="27" borderId="123" xfId="0" applyFont="1" applyFill="1" applyBorder="1" applyAlignment="1">
      <alignment horizontal="center" vertical="center" wrapText="1"/>
    </xf>
    <xf numFmtId="0" fontId="58" fillId="3" borderId="0" xfId="0" applyFont="1" applyFill="1" applyAlignment="1">
      <alignment vertical="center" wrapText="1"/>
    </xf>
    <xf numFmtId="0" fontId="11" fillId="28" borderId="0" xfId="0" applyFont="1" applyFill="1" applyAlignment="1">
      <alignment vertical="center" wrapText="1"/>
    </xf>
    <xf numFmtId="0" fontId="11" fillId="28" borderId="113" xfId="0" applyFont="1" applyFill="1" applyBorder="1" applyAlignment="1">
      <alignment horizontal="center" vertical="center" wrapText="1"/>
    </xf>
    <xf numFmtId="0" fontId="11" fillId="28" borderId="114" xfId="0" applyFont="1" applyFill="1" applyBorder="1" applyAlignment="1">
      <alignment horizontal="center" vertical="center" wrapText="1"/>
    </xf>
    <xf numFmtId="0" fontId="11" fillId="28" borderId="115" xfId="0" applyFont="1" applyFill="1" applyBorder="1" applyAlignment="1">
      <alignment horizontal="center" vertical="center" wrapText="1"/>
    </xf>
    <xf numFmtId="0" fontId="11" fillId="28" borderId="5" xfId="0" applyFont="1" applyFill="1" applyBorder="1" applyAlignment="1">
      <alignment horizontal="center" vertical="center" wrapText="1"/>
    </xf>
    <xf numFmtId="0" fontId="11" fillId="28" borderId="6" xfId="0" applyFont="1" applyFill="1" applyBorder="1" applyAlignment="1">
      <alignment horizontal="center" vertical="center" wrapText="1"/>
    </xf>
    <xf numFmtId="0" fontId="11" fillId="28" borderId="4" xfId="0" applyFont="1" applyFill="1" applyBorder="1" applyAlignment="1">
      <alignment horizontal="center" vertical="center" wrapText="1"/>
    </xf>
    <xf numFmtId="0" fontId="11" fillId="28" borderId="120" xfId="0" applyFont="1" applyFill="1" applyBorder="1" applyAlignment="1">
      <alignment horizontal="center" vertical="center" wrapText="1"/>
    </xf>
    <xf numFmtId="0" fontId="11" fillId="28" borderId="125" xfId="0" applyFont="1" applyFill="1" applyBorder="1" applyAlignment="1">
      <alignment horizontal="center" vertical="center" wrapText="1"/>
    </xf>
    <xf numFmtId="0" fontId="11" fillId="28" borderId="123" xfId="0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14" fontId="1" fillId="0" borderId="0" xfId="0" applyNumberFormat="1" applyFont="1" applyFill="1"/>
    <xf numFmtId="0" fontId="1" fillId="0" borderId="0" xfId="0" applyFont="1" applyFill="1" applyProtection="1">
      <protection locked="0"/>
    </xf>
    <xf numFmtId="4" fontId="14" fillId="0" borderId="83" xfId="0" applyNumberFormat="1" applyFont="1" applyBorder="1" applyAlignment="1">
      <alignment horizontal="left" vertical="top" wrapText="1"/>
    </xf>
    <xf numFmtId="172" fontId="1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Alignment="1">
      <alignment wrapText="1"/>
    </xf>
    <xf numFmtId="0" fontId="2" fillId="29" borderId="78" xfId="0" applyFont="1" applyFill="1" applyBorder="1" applyAlignment="1">
      <alignment wrapText="1"/>
    </xf>
    <xf numFmtId="10" fontId="0" fillId="0" borderId="0" xfId="2" applyNumberFormat="1" applyFont="1"/>
    <xf numFmtId="9" fontId="0" fillId="0" borderId="0" xfId="0" applyNumberFormat="1"/>
    <xf numFmtId="166" fontId="14" fillId="0" borderId="21" xfId="0" applyNumberFormat="1" applyFont="1" applyBorder="1"/>
    <xf numFmtId="166" fontId="14" fillId="0" borderId="0" xfId="0" applyNumberFormat="1" applyFont="1"/>
    <xf numFmtId="166" fontId="0" fillId="0" borderId="0" xfId="0" applyNumberFormat="1"/>
    <xf numFmtId="0" fontId="60" fillId="0" borderId="64" xfId="0" applyFont="1" applyBorder="1" applyAlignment="1">
      <alignment horizontal="center" vertical="center" wrapText="1"/>
    </xf>
    <xf numFmtId="44" fontId="61" fillId="0" borderId="0" xfId="0" applyNumberFormat="1" applyFont="1"/>
    <xf numFmtId="44" fontId="0" fillId="0" borderId="0" xfId="1" applyFont="1" applyAlignment="1">
      <alignment wrapText="1"/>
    </xf>
    <xf numFmtId="0" fontId="62" fillId="0" borderId="0" xfId="0" applyFont="1" applyAlignment="1">
      <alignment horizontal="left" vertical="center" readingOrder="1"/>
    </xf>
    <xf numFmtId="0" fontId="63" fillId="0" borderId="0" xfId="0" applyFont="1"/>
    <xf numFmtId="44" fontId="0" fillId="0" borderId="0" xfId="1" applyFont="1" applyBorder="1"/>
    <xf numFmtId="44" fontId="1" fillId="0" borderId="0" xfId="0" applyNumberFormat="1" applyFont="1" applyAlignment="1">
      <alignment wrapText="1"/>
    </xf>
    <xf numFmtId="0" fontId="66" fillId="0" borderId="0" xfId="0" applyFont="1"/>
    <xf numFmtId="0" fontId="67" fillId="0" borderId="0" xfId="0" applyFont="1"/>
    <xf numFmtId="4" fontId="1" fillId="0" borderId="0" xfId="0" applyNumberFormat="1" applyFont="1"/>
    <xf numFmtId="172" fontId="16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left" vertical="top" wrapText="1"/>
    </xf>
    <xf numFmtId="4" fontId="0" fillId="0" borderId="0" xfId="0" applyNumberFormat="1"/>
    <xf numFmtId="0" fontId="70" fillId="0" borderId="0" xfId="0" applyFont="1" applyAlignment="1">
      <alignment vertical="center"/>
    </xf>
    <xf numFmtId="8" fontId="51" fillId="0" borderId="0" xfId="1" applyNumberFormat="1" applyFont="1" applyBorder="1"/>
    <xf numFmtId="0" fontId="1" fillId="0" borderId="0" xfId="0" applyNumberFormat="1" applyFont="1" applyBorder="1"/>
    <xf numFmtId="44" fontId="2" fillId="0" borderId="0" xfId="0" applyNumberFormat="1" applyFont="1" applyBorder="1"/>
    <xf numFmtId="44" fontId="69" fillId="0" borderId="0" xfId="0" applyNumberFormat="1" applyFont="1"/>
    <xf numFmtId="8" fontId="71" fillId="0" borderId="0" xfId="0" applyNumberFormat="1" applyFont="1"/>
    <xf numFmtId="0" fontId="12" fillId="31" borderId="0" xfId="0" applyFont="1" applyFill="1" applyAlignment="1">
      <alignment vertical="center"/>
    </xf>
    <xf numFmtId="0" fontId="12" fillId="31" borderId="39" xfId="0" applyFont="1" applyFill="1" applyBorder="1" applyAlignment="1">
      <alignment vertical="center"/>
    </xf>
    <xf numFmtId="0" fontId="12" fillId="31" borderId="23" xfId="0" applyFont="1" applyFill="1" applyBorder="1" applyAlignment="1">
      <alignment vertical="center"/>
    </xf>
    <xf numFmtId="44" fontId="12" fillId="31" borderId="23" xfId="0" applyNumberFormat="1" applyFont="1" applyFill="1" applyBorder="1" applyAlignment="1">
      <alignment vertical="center"/>
    </xf>
    <xf numFmtId="44" fontId="64" fillId="31" borderId="40" xfId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64" fillId="31" borderId="40" xfId="0" applyNumberFormat="1" applyFont="1" applyFill="1" applyBorder="1" applyAlignment="1">
      <alignment vertical="center"/>
    </xf>
    <xf numFmtId="164" fontId="12" fillId="31" borderId="23" xfId="0" applyNumberFormat="1" applyFont="1" applyFill="1" applyBorder="1" applyAlignment="1">
      <alignment vertical="center"/>
    </xf>
    <xf numFmtId="44" fontId="0" fillId="0" borderId="0" xfId="0" applyNumberFormat="1" applyFont="1"/>
    <xf numFmtId="173" fontId="0" fillId="0" borderId="0" xfId="0" applyNumberFormat="1" applyBorder="1"/>
    <xf numFmtId="0" fontId="64" fillId="31" borderId="2" xfId="0" applyFont="1" applyFill="1" applyBorder="1" applyAlignment="1">
      <alignment vertical="center"/>
    </xf>
    <xf numFmtId="0" fontId="64" fillId="0" borderId="28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59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44" fontId="12" fillId="0" borderId="43" xfId="1" applyFont="1" applyBorder="1" applyAlignment="1">
      <alignment vertical="center"/>
    </xf>
    <xf numFmtId="44" fontId="12" fillId="0" borderId="60" xfId="1" applyFont="1" applyBorder="1" applyAlignment="1">
      <alignment vertical="center"/>
    </xf>
    <xf numFmtId="44" fontId="0" fillId="0" borderId="0" xfId="0" applyNumberFormat="1" applyBorder="1"/>
    <xf numFmtId="0" fontId="12" fillId="0" borderId="53" xfId="0" applyFont="1" applyBorder="1" applyAlignment="1">
      <alignment vertical="center"/>
    </xf>
    <xf numFmtId="0" fontId="12" fillId="0" borderId="54" xfId="0" applyFont="1" applyBorder="1" applyAlignment="1">
      <alignment vertical="center"/>
    </xf>
    <xf numFmtId="44" fontId="12" fillId="0" borderId="56" xfId="1" applyFont="1" applyBorder="1" applyAlignment="1">
      <alignment horizontal="center" vertical="center"/>
    </xf>
    <xf numFmtId="44" fontId="12" fillId="0" borderId="56" xfId="1" applyFont="1" applyBorder="1" applyAlignment="1">
      <alignment vertical="center"/>
    </xf>
    <xf numFmtId="44" fontId="0" fillId="0" borderId="57" xfId="1" applyFont="1" applyBorder="1"/>
    <xf numFmtId="44" fontId="0" fillId="0" borderId="56" xfId="1" applyFont="1" applyBorder="1"/>
    <xf numFmtId="44" fontId="2" fillId="0" borderId="40" xfId="1" applyFont="1" applyBorder="1"/>
    <xf numFmtId="166" fontId="0" fillId="19" borderId="133" xfId="0" applyNumberFormat="1" applyFont="1" applyFill="1" applyBorder="1"/>
    <xf numFmtId="166" fontId="2" fillId="19" borderId="133" xfId="0" applyNumberFormat="1" applyFont="1" applyFill="1" applyBorder="1"/>
    <xf numFmtId="166" fontId="54" fillId="19" borderId="133" xfId="0" applyNumberFormat="1" applyFont="1" applyFill="1" applyBorder="1"/>
    <xf numFmtId="44" fontId="0" fillId="19" borderId="133" xfId="0" applyNumberFormat="1" applyFont="1" applyFill="1" applyBorder="1"/>
    <xf numFmtId="44" fontId="2" fillId="19" borderId="133" xfId="0" applyNumberFormat="1" applyFont="1" applyFill="1" applyBorder="1"/>
    <xf numFmtId="44" fontId="14" fillId="32" borderId="54" xfId="0" applyNumberFormat="1" applyFont="1" applyFill="1" applyBorder="1" applyAlignment="1">
      <alignment horizontal="center" vertical="center"/>
    </xf>
    <xf numFmtId="0" fontId="2" fillId="19" borderId="133" xfId="0" applyFont="1" applyFill="1" applyBorder="1" applyAlignment="1">
      <alignment horizontal="left" wrapText="1"/>
    </xf>
    <xf numFmtId="44" fontId="54" fillId="17" borderId="0" xfId="0" applyNumberFormat="1" applyFont="1" applyFill="1" applyAlignment="1">
      <alignment horizontal="right" vertical="center"/>
    </xf>
    <xf numFmtId="44" fontId="54" fillId="17" borderId="0" xfId="0" applyNumberFormat="1" applyFont="1" applyFill="1" applyAlignment="1">
      <alignment vertical="center"/>
    </xf>
    <xf numFmtId="164" fontId="0" fillId="0" borderId="0" xfId="0" applyNumberFormat="1" applyFont="1" applyAlignment="1">
      <alignment horizontal="right"/>
    </xf>
    <xf numFmtId="166" fontId="1" fillId="0" borderId="0" xfId="1" applyNumberFormat="1" applyFont="1" applyBorder="1" applyAlignment="1">
      <alignment wrapText="1"/>
    </xf>
    <xf numFmtId="0" fontId="27" fillId="3" borderId="63" xfId="0" applyFont="1" applyFill="1" applyBorder="1" applyAlignment="1">
      <alignment vertical="center"/>
    </xf>
    <xf numFmtId="0" fontId="27" fillId="3" borderId="65" xfId="0" applyFont="1" applyFill="1" applyBorder="1" applyAlignment="1">
      <alignment vertical="center"/>
    </xf>
    <xf numFmtId="0" fontId="27" fillId="3" borderId="66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center" vertical="center"/>
    </xf>
    <xf numFmtId="44" fontId="69" fillId="0" borderId="76" xfId="0" applyNumberFormat="1" applyFont="1" applyBorder="1"/>
    <xf numFmtId="44" fontId="71" fillId="0" borderId="0" xfId="0" applyNumberFormat="1" applyFont="1"/>
    <xf numFmtId="0" fontId="2" fillId="0" borderId="61" xfId="0" applyFont="1" applyBorder="1"/>
    <xf numFmtId="0" fontId="2" fillId="0" borderId="62" xfId="0" applyFont="1" applyBorder="1"/>
    <xf numFmtId="44" fontId="0" fillId="0" borderId="54" xfId="1" applyFont="1" applyBorder="1" applyAlignment="1">
      <alignment horizontal="right"/>
    </xf>
    <xf numFmtId="0" fontId="0" fillId="0" borderId="55" xfId="0" applyBorder="1" applyAlignment="1">
      <alignment horizontal="left"/>
    </xf>
    <xf numFmtId="44" fontId="0" fillId="0" borderId="57" xfId="1" applyFont="1" applyBorder="1" applyAlignment="1">
      <alignment horizontal="right"/>
    </xf>
    <xf numFmtId="0" fontId="0" fillId="0" borderId="0" xfId="0" applyAlignment="1"/>
    <xf numFmtId="0" fontId="64" fillId="33" borderId="2" xfId="0" applyFont="1" applyFill="1" applyBorder="1" applyAlignment="1">
      <alignment vertical="center"/>
    </xf>
    <xf numFmtId="0" fontId="64" fillId="33" borderId="28" xfId="0" applyFont="1" applyFill="1" applyBorder="1" applyAlignment="1">
      <alignment vertical="center"/>
    </xf>
    <xf numFmtId="0" fontId="64" fillId="33" borderId="3" xfId="0" applyFont="1" applyFill="1" applyBorder="1" applyAlignment="1">
      <alignment vertical="center"/>
    </xf>
    <xf numFmtId="44" fontId="12" fillId="31" borderId="56" xfId="1" applyFont="1" applyFill="1" applyBorder="1" applyAlignment="1">
      <alignment vertical="center"/>
    </xf>
    <xf numFmtId="44" fontId="12" fillId="31" borderId="57" xfId="0" applyNumberFormat="1" applyFont="1" applyFill="1" applyBorder="1" applyAlignment="1">
      <alignment vertical="center"/>
    </xf>
    <xf numFmtId="0" fontId="2" fillId="33" borderId="2" xfId="0" applyFont="1" applyFill="1" applyBorder="1"/>
    <xf numFmtId="164" fontId="12" fillId="0" borderId="56" xfId="1" applyNumberFormat="1" applyFont="1" applyBorder="1" applyAlignment="1">
      <alignment vertical="center"/>
    </xf>
    <xf numFmtId="164" fontId="12" fillId="0" borderId="57" xfId="1" applyNumberFormat="1" applyFont="1" applyBorder="1" applyAlignment="1">
      <alignment vertical="center"/>
    </xf>
    <xf numFmtId="0" fontId="64" fillId="30" borderId="2" xfId="0" applyFont="1" applyFill="1" applyBorder="1" applyAlignment="1">
      <alignment horizontal="left" vertical="center" wrapText="1"/>
    </xf>
    <xf numFmtId="0" fontId="64" fillId="33" borderId="28" xfId="0" applyFont="1" applyFill="1" applyBorder="1" applyAlignment="1">
      <alignment horizontal="right" vertical="center"/>
    </xf>
    <xf numFmtId="0" fontId="64" fillId="33" borderId="3" xfId="0" applyFont="1" applyFill="1" applyBorder="1" applyAlignment="1">
      <alignment horizontal="right" vertical="center"/>
    </xf>
    <xf numFmtId="44" fontId="65" fillId="0" borderId="92" xfId="1" applyFont="1" applyBorder="1" applyAlignment="1">
      <alignment vertical="center"/>
    </xf>
    <xf numFmtId="44" fontId="65" fillId="0" borderId="73" xfId="1" applyFont="1" applyBorder="1" applyAlignment="1">
      <alignment vertical="center"/>
    </xf>
    <xf numFmtId="173" fontId="0" fillId="0" borderId="20" xfId="0" applyNumberFormat="1" applyBorder="1" applyAlignment="1">
      <alignment horizontal="right"/>
    </xf>
    <xf numFmtId="173" fontId="0" fillId="0" borderId="46" xfId="0" applyNumberFormat="1" applyBorder="1" applyAlignment="1">
      <alignment horizontal="right"/>
    </xf>
    <xf numFmtId="0" fontId="72" fillId="0" borderId="0" xfId="0" applyFont="1" applyBorder="1" applyAlignment="1"/>
    <xf numFmtId="44" fontId="0" fillId="0" borderId="0" xfId="0" applyNumberFormat="1" applyFont="1" applyBorder="1" applyAlignment="1"/>
    <xf numFmtId="164" fontId="0" fillId="0" borderId="0" xfId="0" applyNumberFormat="1" applyBorder="1"/>
    <xf numFmtId="0" fontId="2" fillId="0" borderId="0" xfId="0" applyFont="1" applyBorder="1"/>
    <xf numFmtId="173" fontId="2" fillId="0" borderId="0" xfId="0" applyNumberFormat="1" applyFont="1" applyBorder="1"/>
    <xf numFmtId="44" fontId="0" fillId="0" borderId="6" xfId="1" applyFont="1" applyBorder="1"/>
    <xf numFmtId="44" fontId="0" fillId="0" borderId="24" xfId="1" applyFont="1" applyBorder="1"/>
    <xf numFmtId="4" fontId="22" fillId="26" borderId="46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55" xfId="0" applyFont="1" applyBorder="1" applyAlignment="1">
      <alignment wrapText="1"/>
    </xf>
    <xf numFmtId="0" fontId="0" fillId="0" borderId="0" xfId="0" applyAlignment="1">
      <alignment vertical="center" wrapText="1"/>
    </xf>
    <xf numFmtId="44" fontId="2" fillId="0" borderId="1" xfId="1" applyFont="1" applyFill="1" applyBorder="1" applyAlignment="1">
      <alignment horizontal="right" vertical="center"/>
    </xf>
    <xf numFmtId="44" fontId="2" fillId="0" borderId="1" xfId="1" applyFont="1" applyFill="1" applyBorder="1" applyAlignment="1">
      <alignment vertical="center"/>
    </xf>
    <xf numFmtId="44" fontId="2" fillId="0" borderId="7" xfId="1" applyFont="1" applyFill="1" applyBorder="1" applyAlignment="1">
      <alignment vertical="center"/>
    </xf>
    <xf numFmtId="44" fontId="2" fillId="0" borderId="54" xfId="1" applyFont="1" applyBorder="1" applyAlignment="1"/>
    <xf numFmtId="0" fontId="0" fillId="0" borderId="53" xfId="0" applyFill="1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68" xfId="0" applyFont="1" applyBorder="1"/>
    <xf numFmtId="0" fontId="0" fillId="0" borderId="61" xfId="0" applyBorder="1" applyAlignment="1">
      <alignment horizontal="left" wrapText="1"/>
    </xf>
    <xf numFmtId="44" fontId="2" fillId="0" borderId="54" xfId="1" applyFont="1" applyBorder="1" applyAlignment="1">
      <alignment vertical="center"/>
    </xf>
    <xf numFmtId="0" fontId="0" fillId="0" borderId="55" xfId="0" applyFill="1" applyBorder="1"/>
    <xf numFmtId="44" fontId="2" fillId="0" borderId="95" xfId="1" applyFont="1" applyFill="1" applyBorder="1" applyAlignment="1">
      <alignment vertical="center"/>
    </xf>
    <xf numFmtId="44" fontId="2" fillId="0" borderId="57" xfId="1" applyFont="1" applyBorder="1" applyAlignment="1"/>
    <xf numFmtId="0" fontId="76" fillId="0" borderId="47" xfId="0" applyFont="1" applyBorder="1" applyAlignment="1">
      <alignment horizontal="left" vertical="center" wrapText="1"/>
    </xf>
    <xf numFmtId="166" fontId="65" fillId="0" borderId="46" xfId="1" applyNumberFormat="1" applyFont="1" applyBorder="1" applyAlignment="1">
      <alignment horizontal="right" wrapText="1"/>
    </xf>
    <xf numFmtId="44" fontId="65" fillId="0" borderId="46" xfId="1" applyFont="1" applyBorder="1" applyAlignment="1">
      <alignment horizontal="right" wrapText="1"/>
    </xf>
    <xf numFmtId="0" fontId="76" fillId="21" borderId="47" xfId="0" applyFont="1" applyFill="1" applyBorder="1" applyAlignment="1">
      <alignment horizontal="left" vertical="center" wrapText="1"/>
    </xf>
    <xf numFmtId="44" fontId="65" fillId="21" borderId="46" xfId="1" applyFont="1" applyFill="1" applyBorder="1" applyAlignment="1">
      <alignment horizontal="right" wrapText="1"/>
    </xf>
    <xf numFmtId="166" fontId="65" fillId="21" borderId="46" xfId="1" applyNumberFormat="1" applyFont="1" applyFill="1" applyBorder="1" applyAlignment="1">
      <alignment horizontal="right" wrapText="1"/>
    </xf>
    <xf numFmtId="0" fontId="75" fillId="22" borderId="47" xfId="0" applyFont="1" applyFill="1" applyBorder="1" applyAlignment="1">
      <alignment horizontal="left" vertical="center" wrapText="1"/>
    </xf>
    <xf numFmtId="44" fontId="76" fillId="22" borderId="26" xfId="1" applyFont="1" applyFill="1" applyBorder="1" applyAlignment="1">
      <alignment horizontal="right" wrapText="1"/>
    </xf>
    <xf numFmtId="166" fontId="76" fillId="22" borderId="26" xfId="1" applyNumberFormat="1" applyFont="1" applyFill="1" applyBorder="1" applyAlignment="1">
      <alignment horizontal="right" wrapText="1"/>
    </xf>
    <xf numFmtId="44" fontId="2" fillId="19" borderId="134" xfId="1" applyFont="1" applyFill="1" applyBorder="1" applyAlignment="1">
      <alignment horizontal="left" wrapText="1"/>
    </xf>
    <xf numFmtId="44" fontId="30" fillId="0" borderId="16" xfId="1" applyNumberFormat="1" applyFont="1" applyBorder="1" applyAlignment="1">
      <alignment horizontal="right" vertical="top"/>
    </xf>
    <xf numFmtId="44" fontId="29" fillId="0" borderId="16" xfId="1" applyNumberFormat="1" applyFont="1" applyBorder="1" applyAlignment="1">
      <alignment horizontal="right" vertical="top"/>
    </xf>
    <xf numFmtId="0" fontId="0" fillId="0" borderId="100" xfId="0" applyFont="1" applyBorder="1" applyAlignment="1" applyProtection="1">
      <alignment horizontal="center" vertical="center"/>
      <protection locked="0"/>
    </xf>
    <xf numFmtId="0" fontId="0" fillId="0" borderId="105" xfId="0" applyFont="1" applyBorder="1" applyAlignment="1" applyProtection="1">
      <alignment horizontal="center" vertical="center"/>
      <protection locked="0"/>
    </xf>
    <xf numFmtId="0" fontId="11" fillId="28" borderId="132" xfId="0" applyFont="1" applyFill="1" applyBorder="1" applyAlignment="1">
      <alignment horizontal="center" vertical="center" wrapText="1"/>
    </xf>
    <xf numFmtId="0" fontId="11" fillId="28" borderId="0" xfId="0" applyFont="1" applyFill="1" applyBorder="1" applyAlignment="1">
      <alignment horizontal="center" vertical="center" wrapText="1"/>
    </xf>
    <xf numFmtId="0" fontId="0" fillId="0" borderId="100" xfId="0" applyFont="1" applyBorder="1" applyAlignment="1" applyProtection="1">
      <alignment horizontal="center" vertical="center" wrapText="1"/>
      <protection locked="0"/>
    </xf>
    <xf numFmtId="0" fontId="0" fillId="0" borderId="103" xfId="0" applyFont="1" applyBorder="1" applyAlignment="1" applyProtection="1">
      <alignment horizontal="center" vertical="center" wrapText="1"/>
      <protection locked="0"/>
    </xf>
    <xf numFmtId="0" fontId="0" fillId="0" borderId="105" xfId="0" applyFont="1" applyBorder="1" applyAlignment="1" applyProtection="1">
      <alignment horizontal="center" vertical="center" wrapText="1"/>
      <protection locked="0"/>
    </xf>
    <xf numFmtId="0" fontId="11" fillId="28" borderId="0" xfId="0" applyFont="1" applyFill="1" applyAlignment="1">
      <alignment horizontal="center" vertical="center" wrapText="1"/>
    </xf>
    <xf numFmtId="0" fontId="0" fillId="0" borderId="113" xfId="0" applyFont="1" applyBorder="1" applyAlignment="1" applyProtection="1">
      <alignment horizontal="center" vertical="center" wrapText="1"/>
      <protection locked="0"/>
    </xf>
    <xf numFmtId="0" fontId="0" fillId="0" borderId="119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32" xfId="0" applyFont="1" applyFill="1" applyBorder="1" applyAlignment="1">
      <alignment horizontal="center" vertical="center" wrapText="1"/>
    </xf>
    <xf numFmtId="4" fontId="14" fillId="23" borderId="0" xfId="0" applyNumberFormat="1" applyFont="1" applyFill="1" applyAlignment="1">
      <alignment wrapText="1"/>
    </xf>
    <xf numFmtId="4" fontId="14" fillId="0" borderId="0" xfId="0" applyNumberFormat="1" applyFont="1" applyAlignment="1">
      <alignment wrapText="1"/>
    </xf>
    <xf numFmtId="4" fontId="14" fillId="23" borderId="0" xfId="0" applyNumberFormat="1" applyFont="1" applyFill="1" applyAlignment="1">
      <alignment vertical="top" wrapText="1"/>
    </xf>
    <xf numFmtId="4" fontId="14" fillId="0" borderId="0" xfId="0" applyNumberFormat="1" applyFont="1" applyAlignment="1">
      <alignment horizontal="left" vertical="top" wrapText="1"/>
    </xf>
    <xf numFmtId="0" fontId="11" fillId="28" borderId="20" xfId="0" applyFont="1" applyFill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11" fillId="27" borderId="0" xfId="0" applyFont="1" applyFill="1" applyBorder="1" applyAlignment="1">
      <alignment horizontal="center" vertical="center" wrapText="1"/>
    </xf>
    <xf numFmtId="0" fontId="11" fillId="27" borderId="0" xfId="0" applyFont="1" applyFill="1" applyAlignment="1">
      <alignment horizontal="center" vertical="center" wrapText="1"/>
    </xf>
    <xf numFmtId="0" fontId="11" fillId="27" borderId="132" xfId="0" applyFont="1" applyFill="1" applyBorder="1" applyAlignment="1">
      <alignment horizontal="center" vertical="center" wrapText="1"/>
    </xf>
    <xf numFmtId="0" fontId="11" fillId="27" borderId="20" xfId="0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textRotation="90"/>
    </xf>
    <xf numFmtId="0" fontId="50" fillId="0" borderId="0" xfId="0" applyFont="1" applyBorder="1" applyAlignment="1">
      <alignment horizontal="center" vertical="center" textRotation="90"/>
    </xf>
    <xf numFmtId="0" fontId="7" fillId="4" borderId="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left" vertical="center" indent="2"/>
    </xf>
    <xf numFmtId="0" fontId="7" fillId="4" borderId="22" xfId="0" applyFont="1" applyFill="1" applyBorder="1" applyAlignment="1">
      <alignment horizontal="left" vertical="center" indent="2"/>
    </xf>
    <xf numFmtId="0" fontId="7" fillId="4" borderId="4" xfId="0" applyFont="1" applyFill="1" applyBorder="1" applyAlignment="1">
      <alignment horizontal="left" vertical="center" indent="2"/>
    </xf>
    <xf numFmtId="0" fontId="7" fillId="4" borderId="21" xfId="0" applyFont="1" applyFill="1" applyBorder="1" applyAlignment="1">
      <alignment horizontal="left" vertical="center" wrapText="1" indent="2"/>
    </xf>
    <xf numFmtId="0" fontId="7" fillId="4" borderId="50" xfId="0" applyFont="1" applyFill="1" applyBorder="1" applyAlignment="1">
      <alignment horizontal="left" vertical="center" indent="2"/>
    </xf>
    <xf numFmtId="0" fontId="7" fillId="4" borderId="51" xfId="0" applyFont="1" applyFill="1" applyBorder="1" applyAlignment="1">
      <alignment horizontal="left" vertical="center" indent="2"/>
    </xf>
    <xf numFmtId="0" fontId="7" fillId="4" borderId="52" xfId="0" applyFont="1" applyFill="1" applyBorder="1" applyAlignment="1">
      <alignment horizontal="left" vertical="center" indent="2"/>
    </xf>
    <xf numFmtId="0" fontId="7" fillId="4" borderId="4" xfId="0" applyFont="1" applyFill="1" applyBorder="1" applyAlignment="1">
      <alignment horizontal="left" vertical="center" wrapText="1" indent="2"/>
    </xf>
    <xf numFmtId="0" fontId="7" fillId="4" borderId="22" xfId="0" applyFont="1" applyFill="1" applyBorder="1" applyAlignment="1">
      <alignment horizontal="left" vertical="center" wrapText="1" indent="2"/>
    </xf>
    <xf numFmtId="0" fontId="7" fillId="4" borderId="63" xfId="0" applyFont="1" applyFill="1" applyBorder="1" applyAlignment="1">
      <alignment horizontal="left" vertical="center"/>
    </xf>
    <xf numFmtId="0" fontId="7" fillId="4" borderId="45" xfId="0" applyFont="1" applyFill="1" applyBorder="1" applyAlignment="1">
      <alignment horizontal="left" vertical="center"/>
    </xf>
    <xf numFmtId="0" fontId="7" fillId="4" borderId="5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41" xfId="0" applyFont="1" applyFill="1" applyBorder="1" applyAlignment="1">
      <alignment horizontal="left" vertical="center"/>
    </xf>
    <xf numFmtId="0" fontId="7" fillId="4" borderId="47" xfId="0" applyFont="1" applyFill="1" applyBorder="1" applyAlignment="1">
      <alignment horizontal="left" vertical="center"/>
    </xf>
    <xf numFmtId="0" fontId="18" fillId="3" borderId="71" xfId="0" applyFont="1" applyFill="1" applyBorder="1" applyAlignment="1">
      <alignment horizontal="center" vertical="center" wrapText="1"/>
    </xf>
    <xf numFmtId="0" fontId="18" fillId="3" borderId="65" xfId="0" applyFont="1" applyFill="1" applyBorder="1" applyAlignment="1">
      <alignment horizontal="center" vertical="center" wrapText="1"/>
    </xf>
    <xf numFmtId="0" fontId="18" fillId="3" borderId="6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75" xfId="0" applyFont="1" applyFill="1" applyBorder="1" applyAlignment="1">
      <alignment horizontal="center" vertical="center" wrapText="1"/>
    </xf>
    <xf numFmtId="0" fontId="27" fillId="3" borderId="63" xfId="0" applyFont="1" applyFill="1" applyBorder="1" applyAlignment="1">
      <alignment horizontal="center" vertical="center"/>
    </xf>
    <xf numFmtId="0" fontId="27" fillId="3" borderId="65" xfId="0" applyFont="1" applyFill="1" applyBorder="1" applyAlignment="1">
      <alignment horizontal="center" vertical="center"/>
    </xf>
    <xf numFmtId="0" fontId="27" fillId="3" borderId="66" xfId="0" applyFont="1" applyFill="1" applyBorder="1" applyAlignment="1">
      <alignment horizontal="center" vertical="center"/>
    </xf>
    <xf numFmtId="0" fontId="75" fillId="20" borderId="19" xfId="0" applyFont="1" applyFill="1" applyBorder="1" applyAlignment="1">
      <alignment horizontal="justify" vertical="center" wrapText="1"/>
    </xf>
    <xf numFmtId="0" fontId="75" fillId="20" borderId="47" xfId="0" applyFont="1" applyFill="1" applyBorder="1" applyAlignment="1">
      <alignment horizontal="justify" vertical="center" wrapText="1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21" xfId="0" applyFont="1" applyFill="1" applyBorder="1" applyAlignment="1">
      <alignment horizontal="center" vertical="center" wrapText="1"/>
    </xf>
    <xf numFmtId="0" fontId="27" fillId="9" borderId="2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4" fontId="12" fillId="0" borderId="94" xfId="1" applyFont="1" applyBorder="1" applyAlignment="1">
      <alignment vertical="center"/>
    </xf>
    <xf numFmtId="44" fontId="12" fillId="0" borderId="95" xfId="1" applyFont="1" applyBorder="1" applyAlignment="1">
      <alignment vertical="center"/>
    </xf>
    <xf numFmtId="44" fontId="12" fillId="0" borderId="28" xfId="1" applyFont="1" applyBorder="1" applyAlignment="1">
      <alignment vertical="center"/>
    </xf>
    <xf numFmtId="44" fontId="12" fillId="0" borderId="56" xfId="1" applyFont="1" applyBorder="1" applyAlignment="1">
      <alignment vertical="center"/>
    </xf>
    <xf numFmtId="44" fontId="12" fillId="0" borderId="3" xfId="1" applyFont="1" applyBorder="1" applyAlignment="1">
      <alignment vertical="center"/>
    </xf>
    <xf numFmtId="44" fontId="12" fillId="0" borderId="57" xfId="1" applyFont="1" applyBorder="1" applyAlignment="1">
      <alignment vertical="center"/>
    </xf>
    <xf numFmtId="0" fontId="7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44" fontId="65" fillId="0" borderId="92" xfId="1" applyFont="1" applyBorder="1" applyAlignment="1">
      <alignment horizontal="center" vertical="center"/>
    </xf>
    <xf numFmtId="44" fontId="65" fillId="0" borderId="73" xfId="1" applyFont="1" applyBorder="1" applyAlignment="1">
      <alignment horizontal="center" vertical="center"/>
    </xf>
    <xf numFmtId="0" fontId="2" fillId="0" borderId="97" xfId="0" applyFont="1" applyBorder="1" applyAlignment="1">
      <alignment horizontal="center"/>
    </xf>
    <xf numFmtId="0" fontId="2" fillId="0" borderId="91" xfId="0" applyFont="1" applyBorder="1" applyAlignment="1">
      <alignment horizontal="center"/>
    </xf>
  </cellXfs>
  <cellStyles count="73">
    <cellStyle name="0,0_x000a__x000a_NA_x000a__x000a_" xfId="12"/>
    <cellStyle name="0,0_x000d__x000a_NA_x000d__x000a_" xfId="13"/>
    <cellStyle name="1R" xfId="14"/>
    <cellStyle name="2R" xfId="15"/>
    <cellStyle name="Coma 2" xfId="3"/>
    <cellStyle name="Diseño" xfId="16"/>
    <cellStyle name="Diseño 2" xfId="52"/>
    <cellStyle name="Estilo 1" xfId="11"/>
    <cellStyle name="Euro" xfId="17"/>
    <cellStyle name="Euro 2" xfId="53"/>
    <cellStyle name="Grey" xfId="18"/>
    <cellStyle name="Header1" xfId="19"/>
    <cellStyle name="Header2" xfId="20"/>
    <cellStyle name="Hyperlink" xfId="21"/>
    <cellStyle name="Hyperlink seguido" xfId="22"/>
    <cellStyle name="Input [yellow]" xfId="23"/>
    <cellStyle name="Input 0" xfId="24"/>
    <cellStyle name="Jun" xfId="25"/>
    <cellStyle name="Millares 2" xfId="4"/>
    <cellStyle name="Moneda" xfId="1" builtinId="4"/>
    <cellStyle name="Moneda 2" xfId="5"/>
    <cellStyle name="Moneda 3" xfId="37"/>
    <cellStyle name="Moneda 3 2" xfId="58"/>
    <cellStyle name="Normal" xfId="0" builtinId="0"/>
    <cellStyle name="Normal - Style1" xfId="26"/>
    <cellStyle name="Normal - Style1 2" xfId="54"/>
    <cellStyle name="Normal 10" xfId="46"/>
    <cellStyle name="Normal 10 2" xfId="67"/>
    <cellStyle name="Normal 11" xfId="41"/>
    <cellStyle name="Normal 11 2" xfId="62"/>
    <cellStyle name="Normal 12" xfId="45"/>
    <cellStyle name="Normal 12 2" xfId="66"/>
    <cellStyle name="Normal 13" xfId="42"/>
    <cellStyle name="Normal 13 2" xfId="63"/>
    <cellStyle name="Normal 14" xfId="44"/>
    <cellStyle name="Normal 14 2" xfId="65"/>
    <cellStyle name="Normal 15" xfId="43"/>
    <cellStyle name="Normal 15 2" xfId="64"/>
    <cellStyle name="Normal 16" xfId="48"/>
    <cellStyle name="Normal 16 2" xfId="69"/>
    <cellStyle name="Normal 17" xfId="50"/>
    <cellStyle name="Normal 17 2" xfId="71"/>
    <cellStyle name="Normal 18" xfId="49"/>
    <cellStyle name="Normal 18 2" xfId="70"/>
    <cellStyle name="Normal 19" xfId="51"/>
    <cellStyle name="Normal 19 2" xfId="72"/>
    <cellStyle name="Normal 2" xfId="6"/>
    <cellStyle name="Normal 3" xfId="7"/>
    <cellStyle name="Normal 4" xfId="8"/>
    <cellStyle name="Normal 5" xfId="9"/>
    <cellStyle name="Normal 6" xfId="10"/>
    <cellStyle name="Normal 7" xfId="39"/>
    <cellStyle name="Normal 7 2" xfId="60"/>
    <cellStyle name="Normal 8" xfId="47"/>
    <cellStyle name="Normal 8 2" xfId="68"/>
    <cellStyle name="Normal 9" xfId="40"/>
    <cellStyle name="Normal 9 2" xfId="61"/>
    <cellStyle name="Option" xfId="27"/>
    <cellStyle name="Option 2" xfId="55"/>
    <cellStyle name="PATXI" xfId="28"/>
    <cellStyle name="Percent [2]" xfId="29"/>
    <cellStyle name="Percent [2] 2" xfId="56"/>
    <cellStyle name="Percentatge" xfId="2" builtinId="5"/>
    <cellStyle name="Percentatge 2" xfId="38"/>
    <cellStyle name="Percentatge 2 2" xfId="59"/>
    <cellStyle name="PSChar" xfId="30"/>
    <cellStyle name="PSDate" xfId="31"/>
    <cellStyle name="PSDec" xfId="32"/>
    <cellStyle name="PSHeading" xfId="33"/>
    <cellStyle name="PSInt" xfId="34"/>
    <cellStyle name="PSSpacer" xfId="35"/>
    <cellStyle name="Unit" xfId="36"/>
    <cellStyle name="Unit 2" xfId="57"/>
  </cellStyles>
  <dxfs count="1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#,##0.00\ &quot;€&quot;;[Red]\-#,##0.00\ &quot;€&quot;"/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505050"/>
        </right>
        <top style="thin">
          <color rgb="FF505050"/>
        </top>
        <bottom style="thin">
          <color rgb="FF50505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505050"/>
        </right>
        <top style="thin">
          <color rgb="FF505050"/>
        </top>
        <bottom style="thin">
          <color rgb="FF50505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rgb="FF505050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numFmt numFmtId="34" formatCode="_-* #,##0.00\ &quot;€&quot;_-;\-* #,##0.00\ &quot;€&quot;_-;_-* &quot;-&quot;??\ &quot;€&quot;_-;_-@_-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505050"/>
        </right>
        <top/>
        <bottom style="medium">
          <color indexed="64"/>
        </bottom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wrapText="1" readingOrder="0"/>
    </dxf>
    <dxf>
      <border outline="0"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0\ [$€-403]_-;\-* #,##0.00\ [$€-403]_-;_-* &quot;-&quot;??\ [$€-403]_-;_-@_-"/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color theme="0" tint="-0.499984740745262"/>
      </font>
      <numFmt numFmtId="166" formatCode="#,##0.00\ &quot;€&quot;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color theme="0" tint="-0.499984740745262"/>
      </font>
      <numFmt numFmtId="166" formatCode="#,##0.00\ &quot;€&quot;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6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B8949"/>
      <color rgb="FF8A8048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7%20Pressupost\Pressupostos%20serveis%20Aplicacions%202017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6%20Serveis%20Aplicacions\2016%20Pressupost%20aplicacions\Pressupostos%20serveis%20Aplicacions%20201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Codi Contracte</v>
          </cell>
        </row>
      </sheetData>
      <sheetData sheetId="11"/>
      <sheetData sheetId="12"/>
      <sheetData sheetId="13"/>
      <sheetData sheetId="14"/>
      <sheetData sheetId="15">
        <row r="1">
          <cell r="A1" t="str">
            <v>Codi Servei</v>
          </cell>
          <cell r="M1" t="str">
            <v>Tipus despesa</v>
          </cell>
          <cell r="N1" t="str">
            <v>Conceptes despesa</v>
          </cell>
        </row>
        <row r="2">
          <cell r="M2" t="str">
            <v>1. Continuïtat: Manteniment i suport</v>
          </cell>
          <cell r="N2" t="str">
            <v>1.1. Suport usuari</v>
          </cell>
        </row>
        <row r="3">
          <cell r="M3" t="str">
            <v>2. Evolutiu: Evolutiu recurrent</v>
          </cell>
          <cell r="N3" t="str">
            <v>1.2. Suport al servei</v>
          </cell>
        </row>
        <row r="4">
          <cell r="M4" t="str">
            <v>3. Projecte de millora: Evolutiu Identificat</v>
          </cell>
          <cell r="N4" t="str">
            <v>1.3. Correctiu imprescindible</v>
          </cell>
        </row>
        <row r="5">
          <cell r="M5" t="str">
            <v>4. Projecte</v>
          </cell>
          <cell r="N5" t="str">
            <v>1.4. Llicències</v>
          </cell>
        </row>
        <row r="6">
          <cell r="N6" t="str">
            <v>2.1. Imperatiu legal</v>
          </cell>
        </row>
        <row r="7">
          <cell r="N7" t="str">
            <v>2.2. Millores funcionalitats existents</v>
          </cell>
        </row>
        <row r="8">
          <cell r="N8" t="str">
            <v>3.1. Noves funcionalitats</v>
          </cell>
        </row>
        <row r="9">
          <cell r="N9" t="str">
            <v>4.1. Nou Projecte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Codi Servei</v>
          </cell>
          <cell r="B1" t="str">
            <v>Nom del Servei</v>
          </cell>
          <cell r="C1" t="str">
            <v>Referent</v>
          </cell>
          <cell r="D1" t="str">
            <v>Supervisor</v>
          </cell>
          <cell r="E1" t="str">
            <v>Supervisor 2016</v>
          </cell>
          <cell r="F1" t="str">
            <v>Sector</v>
          </cell>
          <cell r="G1" t="str">
            <v>Sector 2016</v>
          </cell>
          <cell r="H1" t="str">
            <v>Unitat de servei</v>
          </cell>
          <cell r="I1" t="str">
            <v>Unitat servei 2016 cat apli</v>
          </cell>
          <cell r="J1" t="str">
            <v>Unitat de servei 2016</v>
          </cell>
        </row>
        <row r="2">
          <cell r="A2" t="str">
            <v>SER0001</v>
          </cell>
          <cell r="B2" t="str">
            <v>Quadre de comandament de la gerència Municipal</v>
          </cell>
          <cell r="C2" t="str">
            <v>LLUCH LOPEZ, JAIME</v>
          </cell>
          <cell r="D2" t="str">
            <v>LLUCH LOPEZ, JAIME</v>
          </cell>
          <cell r="E2" t="str">
            <v>LLUCH LOPEZ, JAIME</v>
          </cell>
          <cell r="F2" t="str">
            <v>Gerència Municipal</v>
          </cell>
          <cell r="G2" t="str">
            <v>Gerència Municipal</v>
          </cell>
          <cell r="H2" t="str">
            <v>Anàlisi de dades i Reporting</v>
          </cell>
          <cell r="I2" t="str">
            <v>ANÀLISI DE DADES I REPORTING</v>
          </cell>
          <cell r="J2" t="str">
            <v>ANÀLISI DE DADES I REPORTING</v>
          </cell>
        </row>
        <row r="3">
          <cell r="A3" t="str">
            <v>SER0003</v>
          </cell>
          <cell r="B3" t="str">
            <v>Servei d'Assistència a la Dona</v>
          </cell>
          <cell r="C3" t="str">
            <v>Luis Díaz, Maria Trinidad</v>
          </cell>
          <cell r="D3" t="str">
            <v>BOIX RODRIGUEZ, JORDI</v>
          </cell>
          <cell r="E3" t="str">
            <v>BOIX RODRIGUEZ, JORDI</v>
          </cell>
          <cell r="F3" t="str">
            <v>Gerència de Qualitat de Vida, Igualtat i Esports</v>
          </cell>
          <cell r="G3" t="str">
            <v>Gerència de Drets Socials</v>
          </cell>
          <cell r="H3" t="str">
            <v>Atenció a les Persones</v>
          </cell>
          <cell r="I3" t="str">
            <v>DRETS SOCIALS</v>
          </cell>
          <cell r="J3" t="str">
            <v>DRETS SOCIALS</v>
          </cell>
        </row>
        <row r="4">
          <cell r="A4" t="str">
            <v>SER0004</v>
          </cell>
          <cell r="B4" t="str">
            <v>Ajuts econòmics Serveis Socials</v>
          </cell>
          <cell r="C4" t="str">
            <v>Luis Díaz, Maria Trinidad</v>
          </cell>
          <cell r="D4" t="str">
            <v>BOIX RODRIGUEZ, JORDI</v>
          </cell>
          <cell r="E4" t="str">
            <v>BOIX RODRIGUEZ, JORDI</v>
          </cell>
          <cell r="F4" t="str">
            <v>Gerència de Qualitat de Vida, Igualtat i Esports</v>
          </cell>
          <cell r="G4" t="str">
            <v>Gerència de Drets Socials</v>
          </cell>
          <cell r="H4" t="str">
            <v>Atenció a les Persones</v>
          </cell>
          <cell r="I4" t="str">
            <v>DRETS SOCIALS</v>
          </cell>
          <cell r="J4" t="str">
            <v>DRETS SOCIALS</v>
          </cell>
        </row>
        <row r="5">
          <cell r="A5" t="str">
            <v>SER0005</v>
          </cell>
          <cell r="B5" t="str">
            <v>Renda mínima d'inserció</v>
          </cell>
          <cell r="C5" t="str">
            <v>FONTANALS POU, MIGUEL</v>
          </cell>
          <cell r="D5" t="str">
            <v>BOIX RODRIGUEZ, JORDI</v>
          </cell>
          <cell r="E5" t="str">
            <v>BOIX RODRIGUEZ, JORDI</v>
          </cell>
          <cell r="F5" t="str">
            <v>Gerència de Qualitat de Vida, Igualtat i Esports</v>
          </cell>
          <cell r="G5" t="str">
            <v>Gerència de Drets Socials</v>
          </cell>
          <cell r="H5" t="str">
            <v>Atenció a les Persones</v>
          </cell>
          <cell r="I5" t="str">
            <v>DRETS SOCIALS</v>
          </cell>
          <cell r="J5" t="str">
            <v>DRETS SOCIALS</v>
          </cell>
        </row>
        <row r="6">
          <cell r="A6" t="str">
            <v>SER0006</v>
          </cell>
          <cell r="B6" t="str">
            <v>Beques vacances estiu per nens i joves</v>
          </cell>
          <cell r="C6" t="str">
            <v>Luis Díaz, Maria Trinidad</v>
          </cell>
          <cell r="D6" t="str">
            <v>BOIX RODRIGUEZ, JORDI</v>
          </cell>
          <cell r="E6" t="str">
            <v>BOIX RODRIGUEZ, JORDI</v>
          </cell>
          <cell r="F6" t="str">
            <v>Gerència de Qualitat de Vida, Igualtat i Esports</v>
          </cell>
          <cell r="G6" t="str">
            <v>Gerència de Drets Socials</v>
          </cell>
          <cell r="H6" t="str">
            <v>Atenció a les Persones</v>
          </cell>
          <cell r="I6" t="str">
            <v>DRETS SOCIALS</v>
          </cell>
          <cell r="J6" t="str">
            <v>DRETS SOCIALS</v>
          </cell>
        </row>
        <row r="7">
          <cell r="A7" t="str">
            <v>SER0007</v>
          </cell>
          <cell r="B7" t="str">
            <v>Viatges Gent gran</v>
          </cell>
          <cell r="C7" t="str">
            <v>Luis Díaz, Maria Trinidad</v>
          </cell>
          <cell r="D7" t="str">
            <v>TRIAS JUNCOSA, JAUME</v>
          </cell>
          <cell r="E7" t="str">
            <v>BOIX RODRIGUEZ, JORDI</v>
          </cell>
          <cell r="F7" t="str">
            <v>Gerència de Qualitat de Vida, Igualtat i Esports</v>
          </cell>
          <cell r="G7" t="str">
            <v>Gerència de Drets Socials</v>
          </cell>
          <cell r="H7" t="str">
            <v>Atenció al Ciutadà</v>
          </cell>
          <cell r="I7" t="str">
            <v>DRETS SOCIALS</v>
          </cell>
          <cell r="J7" t="str">
            <v>DRETS SOCIALS</v>
          </cell>
        </row>
        <row r="8">
          <cell r="A8" t="str">
            <v>SER0007/2</v>
          </cell>
          <cell r="B8" t="str">
            <v>Viatges Gent gran Nou</v>
          </cell>
          <cell r="C8" t="str">
            <v>Luis Díaz, Maria Trinidad</v>
          </cell>
          <cell r="D8" t="str">
            <v>BOIX RODRIGUEZ, JORDI</v>
          </cell>
          <cell r="E8" t="str">
            <v>BOIX RODRIGUEZ, JORDI</v>
          </cell>
          <cell r="F8" t="str">
            <v>Gerència de Qualitat de Vida, Igualtat i Esports</v>
          </cell>
          <cell r="G8" t="str">
            <v>Gerència de Drets Socials</v>
          </cell>
          <cell r="H8" t="str">
            <v>Atenció a les Persones</v>
          </cell>
          <cell r="I8" t="str">
            <v>DRETS SOCIALS</v>
          </cell>
          <cell r="J8" t="str">
            <v>DRETS SOCIALS</v>
          </cell>
        </row>
        <row r="9">
          <cell r="A9" t="str">
            <v>SER0008</v>
          </cell>
          <cell r="B9" t="str">
            <v>Cites Serveis Socials i Agenda del Professional</v>
          </cell>
          <cell r="C9" t="str">
            <v>Luis Díaz, Maria Trinidad</v>
          </cell>
          <cell r="D9" t="str">
            <v>BOIX RODRIGUEZ, JORDI</v>
          </cell>
          <cell r="E9" t="str">
            <v>BOIX RODRIGUEZ, JORDI</v>
          </cell>
          <cell r="F9" t="str">
            <v>Gerència de Qualitat de Vida, Igualtat i Esports</v>
          </cell>
          <cell r="G9" t="str">
            <v>Gerència de Drets Socials</v>
          </cell>
          <cell r="H9" t="str">
            <v>Atenció a les Persones</v>
          </cell>
          <cell r="I9" t="str">
            <v>DRETS SOCIALS</v>
          </cell>
          <cell r="J9" t="str">
            <v>DRETS SOCIALS</v>
          </cell>
        </row>
        <row r="10">
          <cell r="A10" t="str">
            <v>SER0009</v>
          </cell>
          <cell r="B10" t="str">
            <v>Expedients Serveis Socials</v>
          </cell>
          <cell r="C10" t="str">
            <v>Camuñez Luengo, Marià</v>
          </cell>
          <cell r="D10" t="str">
            <v>BOIX RODRIGUEZ, JORDI</v>
          </cell>
          <cell r="E10" t="str">
            <v>BOIX RODRIGUEZ, JORDI</v>
          </cell>
          <cell r="F10" t="str">
            <v>Gerència de Qualitat de Vida, Igualtat i Esports</v>
          </cell>
          <cell r="G10" t="str">
            <v>Gerència de Drets Socials</v>
          </cell>
          <cell r="H10" t="str">
            <v>Atenció a les Persones</v>
          </cell>
          <cell r="I10" t="str">
            <v>DRETS SOCIALS</v>
          </cell>
          <cell r="J10" t="str">
            <v>DRETS SOCIALS</v>
          </cell>
        </row>
        <row r="11">
          <cell r="A11" t="str">
            <v>SER0010</v>
          </cell>
          <cell r="B11" t="str">
            <v>Portal del professional de serveis socials</v>
          </cell>
          <cell r="C11" t="str">
            <v>Santamaria Ortin, Carlos</v>
          </cell>
          <cell r="D11" t="str">
            <v>BOIX RODRIGUEZ, JORDI</v>
          </cell>
          <cell r="E11" t="str">
            <v>BOIX RODRIGUEZ, JORDI</v>
          </cell>
          <cell r="F11" t="str">
            <v>Gerència de Qualitat de Vida, Igualtat i Esports</v>
          </cell>
          <cell r="G11" t="str">
            <v>Gerència de Drets Socials</v>
          </cell>
          <cell r="H11" t="str">
            <v>Atenció a les Persones</v>
          </cell>
          <cell r="I11" t="str">
            <v>DRETS SOCIALS</v>
          </cell>
          <cell r="J11" t="str">
            <v>DRETS SOCIALS</v>
          </cell>
        </row>
        <row r="12">
          <cell r="A12" t="str">
            <v>SER0011</v>
          </cell>
          <cell r="B12" t="str">
            <v>Serveis d'assistència a la immigració</v>
          </cell>
          <cell r="C12" t="str">
            <v>FONTANALS POU, MIGUEL</v>
          </cell>
          <cell r="D12" t="str">
            <v>BOIX RODRIGUEZ, JORDI</v>
          </cell>
          <cell r="E12" t="str">
            <v>BOIX RODRIGUEZ, JORDI</v>
          </cell>
          <cell r="F12" t="str">
            <v>Gerència de Qualitat de Vida, Igualtat i Esports</v>
          </cell>
          <cell r="G12" t="str">
            <v>Gerència de Drets Socials</v>
          </cell>
          <cell r="H12" t="str">
            <v>Atenció a les Persones</v>
          </cell>
          <cell r="I12" t="str">
            <v>DRETS SOCIALS</v>
          </cell>
          <cell r="J12" t="str">
            <v>DRETS SOCIALS</v>
          </cell>
        </row>
        <row r="13">
          <cell r="A13" t="str">
            <v>SER0012</v>
          </cell>
          <cell r="B13" t="str">
            <v>Menjadors Socials</v>
          </cell>
          <cell r="C13" t="str">
            <v>Santamaria Ortin, Carlos</v>
          </cell>
          <cell r="D13" t="str">
            <v>BOIX RODRIGUEZ, JORDI</v>
          </cell>
          <cell r="E13" t="str">
            <v>BOIX RODRIGUEZ, JORDI</v>
          </cell>
          <cell r="F13" t="str">
            <v>Gerència de Qualitat de Vida, Igualtat i Esports</v>
          </cell>
          <cell r="G13" t="str">
            <v>Gerència de Drets Socials</v>
          </cell>
          <cell r="H13" t="str">
            <v>Atenció a les Persones</v>
          </cell>
          <cell r="I13" t="str">
            <v>DRETS SOCIALS</v>
          </cell>
          <cell r="J13" t="str">
            <v>DRETS SOCIALS</v>
          </cell>
        </row>
        <row r="14">
          <cell r="A14" t="str">
            <v>SER0013</v>
          </cell>
          <cell r="B14" t="str">
            <v>Equipaments i altres recursos Persones vulnerables</v>
          </cell>
          <cell r="C14" t="str">
            <v>Santamaria Ortin, Carlos</v>
          </cell>
          <cell r="D14" t="str">
            <v>BOIX RODRIGUEZ, JORDI</v>
          </cell>
          <cell r="E14" t="str">
            <v>BOIX RODRIGUEZ, JORDI</v>
          </cell>
          <cell r="F14" t="str">
            <v>Gerència de Qualitat de Vida, Igualtat i Esports</v>
          </cell>
          <cell r="G14" t="str">
            <v>Gerència de Drets Socials</v>
          </cell>
          <cell r="H14" t="str">
            <v>Atenció a les Persones</v>
          </cell>
          <cell r="I14" t="str">
            <v>DRETS SOCIALS</v>
          </cell>
          <cell r="J14" t="str">
            <v>DRETS SOCIALS</v>
          </cell>
        </row>
        <row r="15">
          <cell r="A15" t="str">
            <v>SER0014</v>
          </cell>
          <cell r="B15" t="str">
            <v>Llei de la Dependència</v>
          </cell>
          <cell r="C15" t="str">
            <v>Camuñez Luengo, Marià</v>
          </cell>
          <cell r="D15" t="str">
            <v>BOIX RODRIGUEZ, JORDI</v>
          </cell>
          <cell r="E15" t="str">
            <v>BOIX RODRIGUEZ, JORDI</v>
          </cell>
          <cell r="F15" t="str">
            <v>Gerència de Qualitat de Vida, Igualtat i Esports</v>
          </cell>
          <cell r="G15" t="str">
            <v>Gerència de Drets Socials</v>
          </cell>
          <cell r="H15" t="str">
            <v>Atenció a les Persones</v>
          </cell>
          <cell r="I15" t="str">
            <v>DRETS SOCIALS</v>
          </cell>
          <cell r="J15" t="str">
            <v>DRETS SOCIALS</v>
          </cell>
        </row>
        <row r="16">
          <cell r="A16" t="str">
            <v>SER0015</v>
          </cell>
          <cell r="B16" t="str">
            <v>Servei d'Atenció Domiciliària</v>
          </cell>
          <cell r="C16" t="str">
            <v>Camuñez Luengo, Marià</v>
          </cell>
          <cell r="D16" t="str">
            <v>BOIX RODRIGUEZ, JORDI</v>
          </cell>
          <cell r="E16" t="str">
            <v>BOIX RODRIGUEZ, JORDI</v>
          </cell>
          <cell r="F16" t="str">
            <v>Gerència de Qualitat de Vida, Igualtat i Esports</v>
          </cell>
          <cell r="G16" t="str">
            <v>Gerència de Drets Socials</v>
          </cell>
          <cell r="H16" t="str">
            <v>Atenció a les Persones</v>
          </cell>
          <cell r="I16" t="str">
            <v>DRETS SOCIALS</v>
          </cell>
          <cell r="J16" t="str">
            <v>DRETS SOCIALS</v>
          </cell>
        </row>
        <row r="17">
          <cell r="A17" t="str">
            <v>SER0016</v>
          </cell>
          <cell r="B17" t="str">
            <v>Teleassistència Domiciliària</v>
          </cell>
          <cell r="C17" t="str">
            <v>FONTANALS POU, MIGUEL</v>
          </cell>
          <cell r="D17" t="str">
            <v>BOIX RODRIGUEZ, JORDI</v>
          </cell>
          <cell r="E17" t="str">
            <v>BOIX RODRIGUEZ, JORDI</v>
          </cell>
          <cell r="F17" t="str">
            <v>Gerència de Qualitat de Vida, Igualtat i Esports</v>
          </cell>
          <cell r="G17" t="str">
            <v>Gerència de Drets Socials</v>
          </cell>
          <cell r="H17" t="str">
            <v>Atenció a les Persones</v>
          </cell>
          <cell r="I17" t="str">
            <v>DRETS SOCIALS</v>
          </cell>
          <cell r="J17" t="str">
            <v>DRETS SOCIALS</v>
          </cell>
        </row>
        <row r="18">
          <cell r="A18" t="str">
            <v>SER0017</v>
          </cell>
          <cell r="B18" t="str">
            <v>Servei indicadors i explotació de dades de QVIE</v>
          </cell>
          <cell r="C18" t="str">
            <v>Santamaria Ortin, Carlos</v>
          </cell>
          <cell r="D18" t="str">
            <v>BOIX RODRIGUEZ, JORDI</v>
          </cell>
          <cell r="E18" t="str">
            <v>BOIX RODRIGUEZ, JORDI</v>
          </cell>
          <cell r="F18" t="str">
            <v>Gerència de Qualitat de Vida, Igualtat i Esports</v>
          </cell>
          <cell r="G18" t="str">
            <v>Gerència de Drets Socials</v>
          </cell>
          <cell r="H18" t="str">
            <v>Atenció a les Persones</v>
          </cell>
          <cell r="I18" t="str">
            <v>DRETS SOCIALS</v>
          </cell>
          <cell r="J18" t="str">
            <v>DRETS SOCIALS</v>
          </cell>
        </row>
        <row r="19">
          <cell r="A19" t="str">
            <v>SER0018</v>
          </cell>
          <cell r="B19" t="str">
            <v>Servei d'asistencia persones amb discapacitat: Assesorament laboral IMPD i promoció i suport IMPD</v>
          </cell>
          <cell r="C19" t="str">
            <v>FONTANALS POU, MIGUEL</v>
          </cell>
          <cell r="D19" t="str">
            <v>BOIX RODRIGUEZ, JORDI</v>
          </cell>
          <cell r="E19" t="str">
            <v>BOIX RODRIGUEZ, JORDI</v>
          </cell>
          <cell r="F19" t="str">
            <v>Gerència de Qualitat de Vida, Igualtat i Esports</v>
          </cell>
          <cell r="G19" t="str">
            <v>Gerència de Drets Socials</v>
          </cell>
          <cell r="H19" t="str">
            <v>Atenció a les Persones</v>
          </cell>
          <cell r="I19" t="str">
            <v>DRETS SOCIALS</v>
          </cell>
          <cell r="J19" t="str">
            <v>DRETS SOCIALS</v>
          </cell>
        </row>
        <row r="20">
          <cell r="A20" t="str">
            <v>SER0019</v>
          </cell>
          <cell r="B20" t="str">
            <v>Guia de Barcelona. Agenda i Equipaments</v>
          </cell>
          <cell r="C20" t="str">
            <v>COMAPOSADA MARTI, MONTSERRAT</v>
          </cell>
          <cell r="D20" t="str">
            <v>ROCA VILALTA, XAVIER</v>
          </cell>
          <cell r="E20" t="str">
            <v>COMAPOSADA MARTI, MONTSERRAT</v>
          </cell>
          <cell r="F20" t="str">
            <v>Gerència de Recursos</v>
          </cell>
          <cell r="G20" t="str">
            <v>Gerència de Recursos</v>
          </cell>
          <cell r="H20" t="str">
            <v>DTI</v>
          </cell>
          <cell r="I20" t="str">
            <v>INTERNET I CANALS</v>
          </cell>
          <cell r="J20" t="str">
            <v>DTI</v>
          </cell>
        </row>
        <row r="21">
          <cell r="A21" t="str">
            <v>SER0020</v>
          </cell>
          <cell r="B21" t="str">
            <v>Carpetes de tramitació</v>
          </cell>
          <cell r="C21" t="str">
            <v>CARMONA RUIZ, JUAN CARLO</v>
          </cell>
          <cell r="D21" t="str">
            <v>TRIAS JUNCOSA, JAUME</v>
          </cell>
          <cell r="E21" t="str">
            <v>TRIAS JUNCOSA, JAUME</v>
          </cell>
          <cell r="F21" t="str">
            <v>Gerència de Recursos</v>
          </cell>
          <cell r="G21" t="str">
            <v>Gerència de Recursos</v>
          </cell>
          <cell r="H21" t="str">
            <v>Atenció al Ciutadà</v>
          </cell>
          <cell r="I21" t="str">
            <v>SERVEIS COMUNS ADMINISTRACIÓ ELECTRÓNICA</v>
          </cell>
          <cell r="J21" t="str">
            <v>TRAMITACIÓ, PORTAL I CARPETES</v>
          </cell>
        </row>
        <row r="22">
          <cell r="A22" t="str">
            <v>SER0021</v>
          </cell>
          <cell r="B22" t="str">
            <v>Plataforma de tramitació per 010 i OACs (SATEC)</v>
          </cell>
          <cell r="C22">
            <v>0</v>
          </cell>
          <cell r="D22" t="str">
            <v>TRIAS JUNCOSA, JAUME</v>
          </cell>
          <cell r="E22" t="str">
            <v>TRIAS JUNCOSA, JAUME</v>
          </cell>
          <cell r="F22" t="str">
            <v>Gerència de Recursos</v>
          </cell>
          <cell r="G22" t="str">
            <v>Gerència de Drets de Ciutadania, Participació i Transpàrencia</v>
          </cell>
          <cell r="H22" t="str">
            <v>Atenció al Ciutadà</v>
          </cell>
          <cell r="I22" t="str">
            <v>DRETS CIUTADANIA, PARTICIPACIÓ I TRANSPARÈNCIA</v>
          </cell>
          <cell r="J22" t="str">
            <v>DRETS CIUTADANIA, PARTICIPACIÓ I TRANSPARÈNCIA</v>
          </cell>
        </row>
        <row r="23">
          <cell r="A23" t="str">
            <v>SER0022</v>
          </cell>
          <cell r="B23" t="str">
            <v>Queixes i suggeriments ciutadans</v>
          </cell>
          <cell r="C23" t="str">
            <v>Boya García, Eva</v>
          </cell>
          <cell r="D23" t="str">
            <v>TRIAS JUNCOSA, JAUME</v>
          </cell>
          <cell r="E23" t="str">
            <v>TRIAS JUNCOSA, JAUME</v>
          </cell>
          <cell r="F23" t="str">
            <v>Gerència de Recursos</v>
          </cell>
          <cell r="G23" t="str">
            <v>Gerència de Drets de Ciutadania, Participació i Transpàrencia</v>
          </cell>
          <cell r="H23" t="str">
            <v>Atenció al Ciutadà</v>
          </cell>
          <cell r="I23" t="str">
            <v>DRETS CIUTADANIA, PARTICIPACIÓ I TRANSPARÈNCIA</v>
          </cell>
          <cell r="J23" t="str">
            <v>DRETS CIUTADANIA, PARTICIPACIÓ I TRANSPARÈNCIA</v>
          </cell>
        </row>
        <row r="24">
          <cell r="A24" t="str">
            <v>SER0023</v>
          </cell>
          <cell r="B24" t="str">
            <v>Padró de la Població</v>
          </cell>
          <cell r="C24" t="str">
            <v>ALEMANY SERRA, FRANCESC</v>
          </cell>
          <cell r="D24" t="str">
            <v>TRIAS JUNCOSA, JAUME</v>
          </cell>
          <cell r="E24" t="str">
            <v>TRIAS JUNCOSA, JAUME</v>
          </cell>
          <cell r="F24" t="str">
            <v>IMI-IDB</v>
          </cell>
          <cell r="G24" t="str">
            <v>IMI-IDB</v>
          </cell>
          <cell r="H24" t="str">
            <v>Atenció al Ciutadà</v>
          </cell>
          <cell r="I24" t="str">
            <v>DRETS CIUTADANIA, PARTICIPACIÓ I TRANSPARÈNCIA</v>
          </cell>
          <cell r="J24" t="str">
            <v>DRETS CIUTADANIA, PARTICIPACIÓ I TRANSPARÈNCIA</v>
          </cell>
        </row>
        <row r="25">
          <cell r="A25" t="str">
            <v>SER0024</v>
          </cell>
          <cell r="B25" t="str">
            <v>Model d'Informació de Base</v>
          </cell>
          <cell r="C25" t="str">
            <v>ALEMANY SERRA, FRANCESC</v>
          </cell>
          <cell r="D25" t="str">
            <v>TRIAS JUNCOSA, JAUME</v>
          </cell>
          <cell r="E25" t="str">
            <v>TRIAS JUNCOSA, JAUME</v>
          </cell>
          <cell r="F25" t="str">
            <v>IMI-IDB</v>
          </cell>
          <cell r="G25" t="str">
            <v>IMI-IDB</v>
          </cell>
          <cell r="H25" t="str">
            <v>Atenció al Ciutadà</v>
          </cell>
          <cell r="I25" t="str">
            <v>SERVEIS COMUNS ADMINISTRACIÓ ELECTRÓNICA</v>
          </cell>
          <cell r="J25" t="str">
            <v>TRAMITACIÓ, PORTAL I CARPETES</v>
          </cell>
        </row>
        <row r="26">
          <cell r="A26" t="str">
            <v>SER0025</v>
          </cell>
          <cell r="B26" t="str">
            <v>Targeta Rosa</v>
          </cell>
          <cell r="C26" t="str">
            <v>GONZALEZ GARCIA, SUSANA</v>
          </cell>
          <cell r="D26" t="str">
            <v>TRIAS JUNCOSA, JAUME</v>
          </cell>
          <cell r="E26" t="str">
            <v>TRIAS JUNCOSA, JAUME</v>
          </cell>
          <cell r="F26" t="str">
            <v>Gerència de Recursos</v>
          </cell>
          <cell r="G26" t="str">
            <v>Gerència de Drets de Ciutadania, Participació i Transpàrencia</v>
          </cell>
          <cell r="H26" t="str">
            <v>Atenció al Ciutadà</v>
          </cell>
          <cell r="I26" t="str">
            <v>DRETS CIUTADANIA, PARTICIPACIÓ I TRANSPARÈNCIA</v>
          </cell>
          <cell r="J26" t="str">
            <v>DRETS CIUTADANIA, PARTICIPACIÓ I TRANSPARÈNCIA</v>
          </cell>
        </row>
        <row r="27">
          <cell r="A27" t="str">
            <v>SER0026</v>
          </cell>
          <cell r="B27" t="str">
            <v>Troballes</v>
          </cell>
          <cell r="C27" t="str">
            <v>ALEMANY SERRA, FRANCESC</v>
          </cell>
          <cell r="D27" t="str">
            <v>TRIAS JUNCOSA, JAUME</v>
          </cell>
          <cell r="E27" t="str">
            <v>TRIAS JUNCOSA, JAUME</v>
          </cell>
          <cell r="F27" t="str">
            <v>Gerència de Recursos</v>
          </cell>
          <cell r="G27" t="str">
            <v>Gerència de Drets de Ciutadania, Participació i Transpàrencia</v>
          </cell>
          <cell r="H27" t="str">
            <v>Atenció al Ciutadà</v>
          </cell>
          <cell r="I27" t="str">
            <v>DRETS CIUTADANIA, PARTICIPACIÓ I TRANSPARÈNCIA</v>
          </cell>
          <cell r="J27" t="str">
            <v>DRETS CIUTADANIA, PARTICIPACIÓ I TRANSPARÈNCIA</v>
          </cell>
        </row>
        <row r="28">
          <cell r="A28" t="str">
            <v>SER0027</v>
          </cell>
          <cell r="B28" t="str">
            <v>Registre i Seguiment de temes</v>
          </cell>
          <cell r="C28" t="str">
            <v>DOMINGUEZ MANCERA, MIGUEL</v>
          </cell>
          <cell r="D28" t="str">
            <v>CAPELLA MINGUELL, ROSA M.</v>
          </cell>
          <cell r="E28" t="str">
            <v>SANTAMARIA PEREZ, GLORIA</v>
          </cell>
          <cell r="F28" t="str">
            <v>Gerència de Recursos</v>
          </cell>
          <cell r="G28" t="str">
            <v>Gerència de Recursos</v>
          </cell>
          <cell r="H28" t="str">
            <v>Secretaria, Administració General i Gestió Documental</v>
          </cell>
          <cell r="I28" t="str">
            <v>RECURSOS</v>
          </cell>
          <cell r="J28" t="str">
            <v>REGISTRE, ARXIU I GESTIÓ DOCUMENTAL</v>
          </cell>
        </row>
        <row r="29">
          <cell r="A29" t="str">
            <v>SER0028</v>
          </cell>
          <cell r="B29" t="str">
            <v>Gestió biblioteques, fons documental, arxius</v>
          </cell>
          <cell r="C29" t="str">
            <v>LILLO ESPINOSA, ENRIQUE</v>
          </cell>
          <cell r="D29" t="str">
            <v>SANTAMARIA PEREZ, GLORIA</v>
          </cell>
          <cell r="E29" t="str">
            <v>SANTAMARIA PEREZ, GLORIA</v>
          </cell>
          <cell r="F29" t="str">
            <v>Gerència de Recursos</v>
          </cell>
          <cell r="G29" t="str">
            <v>Gerència de Recursos</v>
          </cell>
          <cell r="H29" t="str">
            <v>Secretaria, Administració General i Gestió Documental</v>
          </cell>
          <cell r="I29" t="str">
            <v>RECURSOS</v>
          </cell>
          <cell r="J29" t="str">
            <v>RECURSOS I ALCALDIA</v>
          </cell>
        </row>
        <row r="30">
          <cell r="A30" t="str">
            <v>SER0030</v>
          </cell>
          <cell r="B30" t="str">
            <v>Serveis a escoles</v>
          </cell>
          <cell r="C30" t="str">
            <v>GARCIA RAMON, MARTA</v>
          </cell>
          <cell r="D30" t="str">
            <v>BOIX RODRIGUEZ, JORDI</v>
          </cell>
          <cell r="E30" t="str">
            <v>BOIX RODRIGUEZ, JORDI</v>
          </cell>
          <cell r="F30" t="str">
            <v>Gerència de Cultura, Coneixement, Creativitat i Innovació</v>
          </cell>
          <cell r="G30" t="str">
            <v>Gerència de Drets Socials</v>
          </cell>
          <cell r="H30" t="str">
            <v>Secretaria, Administració General i Gestió Documental</v>
          </cell>
          <cell r="I30" t="str">
            <v>DRETS SOCIALS. IMEB</v>
          </cell>
          <cell r="J30" t="str">
            <v>DRETS SOCIALS. IMEB</v>
          </cell>
        </row>
        <row r="31">
          <cell r="A31" t="str">
            <v>SER0031</v>
          </cell>
          <cell r="B31" t="str">
            <v>Gestió òrgans de govern municipals</v>
          </cell>
          <cell r="C31" t="str">
            <v>GONZALEZ GARCIA, SUSANA</v>
          </cell>
          <cell r="D31" t="str">
            <v>SANTAMARIA PEREZ, GLORIA</v>
          </cell>
          <cell r="E31" t="str">
            <v>SANTAMARIA PEREZ, GLORIA</v>
          </cell>
          <cell r="F31" t="str">
            <v>Gerència de Recursos</v>
          </cell>
          <cell r="G31" t="str">
            <v>Gerència de Recursos</v>
          </cell>
          <cell r="H31" t="str">
            <v>Secretaria, Administració General i Gestió Documental</v>
          </cell>
          <cell r="I31" t="str">
            <v>RECURSOS</v>
          </cell>
          <cell r="J31" t="str">
            <v>RECURSOS I ALCALDIA</v>
          </cell>
        </row>
        <row r="32">
          <cell r="A32" t="str">
            <v>SER0032</v>
          </cell>
          <cell r="B32" t="str">
            <v>SERVEIS JURIDICS</v>
          </cell>
          <cell r="C32" t="str">
            <v>DOMINGUEZ MANCERA, MIGUEL</v>
          </cell>
          <cell r="D32" t="str">
            <v>SANTAMARIA PEREZ, GLORIA</v>
          </cell>
          <cell r="E32" t="str">
            <v>SANTAMARIA PEREZ, GLORIA</v>
          </cell>
          <cell r="F32" t="str">
            <v>Gerència de Recursos</v>
          </cell>
          <cell r="G32" t="str">
            <v>Gerència de Recursos</v>
          </cell>
          <cell r="H32" t="str">
            <v>Secretaria, Administració General i Gestió Documental</v>
          </cell>
          <cell r="I32" t="str">
            <v>REGISTRE, ARXIU I GESTIÓ DOCUMENTAL</v>
          </cell>
          <cell r="J32" t="str">
            <v>RECURSOS I ALCALDIA</v>
          </cell>
        </row>
        <row r="33">
          <cell r="A33" t="str">
            <v>SER0033</v>
          </cell>
          <cell r="B33" t="str">
            <v>Registre general d'E/S</v>
          </cell>
          <cell r="C33" t="str">
            <v>CAPELLA MINGUELL, ROSA M.</v>
          </cell>
          <cell r="D33" t="str">
            <v>CAPELLA MINGUELL, ROSA M.</v>
          </cell>
          <cell r="E33" t="str">
            <v>CAPELLA MINGUELL, ROSA M.</v>
          </cell>
          <cell r="F33" t="str">
            <v>Gerència de Recursos</v>
          </cell>
          <cell r="G33" t="str">
            <v>Gerència de Recursos</v>
          </cell>
          <cell r="H33" t="str">
            <v>Secretaria, Administració General i Gestió Documental</v>
          </cell>
          <cell r="I33" t="str">
            <v>REGISTRE, ARXIU I GESTIÓ DOCUMENTAL</v>
          </cell>
          <cell r="J33" t="str">
            <v>REGISTRE, ARXIU I GESTIÓ DOCUMENTAL</v>
          </cell>
        </row>
        <row r="34">
          <cell r="A34" t="str">
            <v>SER0034</v>
          </cell>
          <cell r="B34" t="str">
            <v>Gestió Econòmic Financera Ajuntament i OOAA</v>
          </cell>
          <cell r="C34" t="str">
            <v>LLOPART MARCE, NURIA</v>
          </cell>
          <cell r="D34" t="str">
            <v>CASTRO MORAL, LLUIS</v>
          </cell>
          <cell r="E34" t="str">
            <v>TORTOLA FERNANDEZ, JOSE A.</v>
          </cell>
          <cell r="F34" t="str">
            <v>Gerència d'Economia, Empresa i Ocupació</v>
          </cell>
          <cell r="G34" t="str">
            <v>Gerència de Presidència i Economia</v>
          </cell>
          <cell r="H34" t="str">
            <v>Gestió Econòmico-Financera</v>
          </cell>
          <cell r="I34" t="str">
            <v>PRESIDÈNCIA I ECONOMIA</v>
          </cell>
          <cell r="J34" t="str">
            <v>PRESIDÈNCIA I ECONOMIA</v>
          </cell>
        </row>
        <row r="35">
          <cell r="A35" t="str">
            <v>SER0035</v>
          </cell>
          <cell r="B35" t="str">
            <v>Gestió Econòmic Financera Entitats i Empreses</v>
          </cell>
          <cell r="C35" t="str">
            <v>LILLO ESPINOSA, ENRIQUE</v>
          </cell>
          <cell r="D35" t="str">
            <v>CASTRO MORAL, LLUIS</v>
          </cell>
          <cell r="E35" t="str">
            <v>TORTOLA FERNANDEZ, JOSE A.</v>
          </cell>
          <cell r="F35" t="str">
            <v>Gerència d'Economia, Empresa i Ocupació</v>
          </cell>
          <cell r="G35" t="str">
            <v>Gerència de Presidència i Economia</v>
          </cell>
          <cell r="H35" t="str">
            <v>Gestió Econòmico-Financera</v>
          </cell>
          <cell r="I35" t="str">
            <v>PRESIDÈNCIA I ECONOMIA</v>
          </cell>
          <cell r="J35" t="str">
            <v>PRESIDÈNCIA I ECONOMIA</v>
          </cell>
        </row>
        <row r="36">
          <cell r="A36" t="str">
            <v>SER0036</v>
          </cell>
          <cell r="B36" t="str">
            <v>Gestió Econòmic Financera Ens i Consorcis</v>
          </cell>
          <cell r="C36" t="str">
            <v>LLOPART MARCE, NURIA</v>
          </cell>
          <cell r="D36" t="str">
            <v>CASTRO MORAL, LLUIS</v>
          </cell>
          <cell r="E36" t="str">
            <v>TORTOLA FERNANDEZ, JOSE A.</v>
          </cell>
          <cell r="F36" t="str">
            <v>Gerència d'Economia, Empresa i Ocupació</v>
          </cell>
          <cell r="G36" t="str">
            <v>Gerència de Presidència i Economia</v>
          </cell>
          <cell r="H36" t="str">
            <v>Gestió Econòmico-Financera</v>
          </cell>
          <cell r="I36" t="str">
            <v>PRESIDÈNCIA I ECONOMIA</v>
          </cell>
          <cell r="J36" t="str">
            <v>PRESIDÈNCIA I ECONOMIA</v>
          </cell>
        </row>
        <row r="37">
          <cell r="A37" t="str">
            <v>SER0037</v>
          </cell>
          <cell r="B37" t="str">
            <v>Elaboració Pressupostos Grup Municipal</v>
          </cell>
          <cell r="C37" t="str">
            <v>CASADEMUNT TORRAS, JAVIER</v>
          </cell>
          <cell r="D37" t="str">
            <v>CASTRO MORAL, LLUIS</v>
          </cell>
          <cell r="E37" t="str">
            <v>TORTOLA FERNANDEZ, JOSE A.</v>
          </cell>
          <cell r="F37" t="str">
            <v>Gerència d'Economia, Empresa i Ocupació</v>
          </cell>
          <cell r="G37" t="str">
            <v>Gerència de Presidència i Economia</v>
          </cell>
          <cell r="H37" t="str">
            <v>Gestió Econòmico-Financera</v>
          </cell>
          <cell r="I37" t="str">
            <v>PRESIDÈNCIA I ECONOMIA</v>
          </cell>
          <cell r="J37" t="str">
            <v>PRESIDÈNCIA I ECONOMIA</v>
          </cell>
        </row>
        <row r="38">
          <cell r="A38" t="str">
            <v>SER0038</v>
          </cell>
          <cell r="B38" t="str">
            <v>Compres Ajuntament</v>
          </cell>
          <cell r="C38" t="str">
            <v>CASADEMUNT TORRAS, JAVIER</v>
          </cell>
          <cell r="D38" t="str">
            <v>SANTAMARIA PEREZ, GLORIA</v>
          </cell>
          <cell r="E38" t="str">
            <v>SANTAMARIA PEREZ, GLORIA</v>
          </cell>
          <cell r="F38" t="str">
            <v>Gerència de Recursos</v>
          </cell>
          <cell r="G38" t="str">
            <v>Gerència de Recursos</v>
          </cell>
          <cell r="H38" t="str">
            <v>Gestió Econòmico-Financera</v>
          </cell>
          <cell r="I38" t="str">
            <v>RECURSOS</v>
          </cell>
          <cell r="J38" t="str">
            <v>RECURSOS I ALCALDIA</v>
          </cell>
        </row>
        <row r="39">
          <cell r="A39" t="str">
            <v>SER0039</v>
          </cell>
          <cell r="B39" t="str">
            <v>Contractació</v>
          </cell>
          <cell r="C39" t="str">
            <v>RUBIO PARRA, ISABEL</v>
          </cell>
          <cell r="D39" t="str">
            <v>CASTRO MORAL, LLUIS</v>
          </cell>
          <cell r="E39" t="str">
            <v>TORTOLA FERNANDEZ, JOSE A.</v>
          </cell>
          <cell r="F39" t="str">
            <v>Gerència de Recursos</v>
          </cell>
          <cell r="G39" t="str">
            <v>Gerència de Presidència i Economia</v>
          </cell>
          <cell r="H39" t="str">
            <v>Gestió Econòmico-Financera</v>
          </cell>
          <cell r="I39" t="str">
            <v>PRESIDÈNCIA I ECONOMIA</v>
          </cell>
          <cell r="J39" t="str">
            <v>PRESIDÈNCIA I ECONOMIA</v>
          </cell>
        </row>
        <row r="40">
          <cell r="A40" t="str">
            <v>SER0039-1</v>
          </cell>
          <cell r="B40" t="str">
            <v>Contractació Pacs i Jardins</v>
          </cell>
          <cell r="C40" t="str">
            <v>LILLO ESPINOSA, ENRIQUE</v>
          </cell>
          <cell r="D40" t="str">
            <v>CASTRO MORAL, LLUIS</v>
          </cell>
          <cell r="E40" t="str">
            <v>CASTRO MORAL, LLUIS</v>
          </cell>
          <cell r="F40" t="str">
            <v>Gerència d'Hàbitat Urbà</v>
          </cell>
          <cell r="G40" t="str">
            <v>Gerència Ecologia Urbana</v>
          </cell>
          <cell r="H40" t="str">
            <v>Gestió Econòmico-Financera</v>
          </cell>
          <cell r="I40" t="str">
            <v>PRESIDÈNCIA I ECONOMIA</v>
          </cell>
          <cell r="J40" t="str">
            <v>PRESIDÈNCIA I ECONOMIA</v>
          </cell>
        </row>
        <row r="41">
          <cell r="A41" t="str">
            <v>SER0040</v>
          </cell>
          <cell r="B41" t="str">
            <v>Facturació Ajuntament (Ingresos no IMH)</v>
          </cell>
          <cell r="C41" t="str">
            <v>LILLO ESPINOSA, ENRIQUE</v>
          </cell>
          <cell r="D41" t="str">
            <v>CASTRO MORAL, LLUIS</v>
          </cell>
          <cell r="E41" t="str">
            <v>TORTOLA FERNANDEZ, JOSE A.</v>
          </cell>
          <cell r="F41" t="str">
            <v>Gerència d'Economia, Empresa i Ocupació</v>
          </cell>
          <cell r="G41" t="str">
            <v>Gerència de Presidència i Economia</v>
          </cell>
          <cell r="H41" t="str">
            <v>Gestió Econòmico-Financera</v>
          </cell>
          <cell r="I41" t="str">
            <v>PRESIDÈNCIA I ECONOMIA</v>
          </cell>
          <cell r="J41" t="str">
            <v>PRESIDÈNCIA I ECONOMIA</v>
          </cell>
        </row>
        <row r="42">
          <cell r="A42" t="str">
            <v>SER0041</v>
          </cell>
          <cell r="B42" t="str">
            <v>Gestió Inversions</v>
          </cell>
          <cell r="C42">
            <v>0</v>
          </cell>
          <cell r="D42" t="str">
            <v>CASTRO MORAL, LLUIS</v>
          </cell>
          <cell r="E42" t="str">
            <v>TORTOLA FERNANDEZ, JOSE A.</v>
          </cell>
          <cell r="F42" t="str">
            <v>Gerència d'Economia, Empresa i Ocupació</v>
          </cell>
          <cell r="G42" t="str">
            <v>Gerència de Presidència i Economia</v>
          </cell>
          <cell r="H42" t="str">
            <v>Gestió Econòmico-Financera</v>
          </cell>
          <cell r="I42" t="str">
            <v>PRESIDÈNCIA I ECONOMIA</v>
          </cell>
          <cell r="J42" t="str">
            <v>PRESIDÈNCIA I ECONOMIA</v>
          </cell>
        </row>
        <row r="43">
          <cell r="A43" t="str">
            <v>SER0042</v>
          </cell>
          <cell r="B43" t="str">
            <v>Gestió Expropiacions</v>
          </cell>
          <cell r="C43" t="str">
            <v>LILLO ESPINOSA, ENRIQUE</v>
          </cell>
          <cell r="D43" t="str">
            <v>CASTRO MORAL, LLUIS</v>
          </cell>
          <cell r="E43" t="str">
            <v>TORTOLA FERNANDEZ, JOSE A.</v>
          </cell>
          <cell r="F43" t="str">
            <v>Gerència d'Economia, Empresa i Ocupació</v>
          </cell>
          <cell r="G43" t="str">
            <v>Gerència de Presidència i Economia</v>
          </cell>
          <cell r="H43" t="str">
            <v>Gestió Econòmico-Financera</v>
          </cell>
          <cell r="I43" t="str">
            <v>PRESIDÈNCIA I ECONOMIA</v>
          </cell>
          <cell r="J43" t="str">
            <v>PRESIDÈNCIA I ECONOMIA</v>
          </cell>
        </row>
        <row r="44">
          <cell r="A44" t="str">
            <v>SER0043</v>
          </cell>
          <cell r="B44" t="str">
            <v>Tresoreria Ordenació Pagaments</v>
          </cell>
          <cell r="C44" t="str">
            <v>LLOPART MARCE, NURIA</v>
          </cell>
          <cell r="D44" t="str">
            <v>CASTRO MORAL, LLUIS</v>
          </cell>
          <cell r="E44" t="str">
            <v>TORTOLA FERNANDEZ, JOSE A.</v>
          </cell>
          <cell r="F44" t="str">
            <v>Gerència de Recursos</v>
          </cell>
          <cell r="G44" t="str">
            <v>Gerència de Presidència i Economia</v>
          </cell>
          <cell r="H44" t="str">
            <v>Gestió Econòmico-Financera</v>
          </cell>
          <cell r="I44" t="str">
            <v>PRESIDÈNCIA I ECONOMIA</v>
          </cell>
          <cell r="J44" t="str">
            <v>PRESIDÈNCIA I ECONOMIA</v>
          </cell>
        </row>
        <row r="45">
          <cell r="A45" t="str">
            <v>SER0044</v>
          </cell>
          <cell r="B45" t="str">
            <v>Subvencions i Convenis</v>
          </cell>
          <cell r="C45" t="str">
            <v>LILLO ESPINOSA, ENRIQUE</v>
          </cell>
          <cell r="D45" t="str">
            <v>SANTAMARIA PEREZ, GLORIA</v>
          </cell>
          <cell r="E45" t="str">
            <v>SANTAMARIA PEREZ, GLORIA</v>
          </cell>
          <cell r="F45" t="str">
            <v>Gerència de Recursos</v>
          </cell>
          <cell r="G45" t="str">
            <v>Gerència de Recursos</v>
          </cell>
          <cell r="H45" t="str">
            <v>Gestió Econòmico-Financera</v>
          </cell>
          <cell r="I45" t="str">
            <v>RECURSOS</v>
          </cell>
          <cell r="J45" t="str">
            <v>RECURSOS I ALCALDIA</v>
          </cell>
        </row>
        <row r="46">
          <cell r="A46" t="str">
            <v>SER0045</v>
          </cell>
          <cell r="B46" t="str">
            <v>Gestió del patrimoni</v>
          </cell>
          <cell r="C46" t="str">
            <v>CASADEMUNT TORRAS, JAVIER</v>
          </cell>
          <cell r="D46" t="str">
            <v>CASTRO MORAL, LLUIS</v>
          </cell>
          <cell r="E46" t="str">
            <v>TORTOLA FERNANDEZ, JOSE A.</v>
          </cell>
          <cell r="F46" t="str">
            <v>Gerència de Recursos</v>
          </cell>
          <cell r="G46" t="str">
            <v>Gerència de Presidència i Economia</v>
          </cell>
          <cell r="H46" t="str">
            <v>Gestió Econòmico-Financera</v>
          </cell>
          <cell r="I46" t="str">
            <v>PRESIDÈNCIA I ECONOMIA</v>
          </cell>
          <cell r="J46" t="str">
            <v>PRESIDÈNCIA I ECONOMIA</v>
          </cell>
        </row>
        <row r="47">
          <cell r="A47" t="str">
            <v>SER0046</v>
          </cell>
          <cell r="B47" t="str">
            <v>Subministraments</v>
          </cell>
          <cell r="C47" t="str">
            <v>CASTRO MORAL, LLUIS</v>
          </cell>
          <cell r="D47" t="str">
            <v>SANTAMARIA PEREZ, GLORIA</v>
          </cell>
          <cell r="E47" t="str">
            <v>SANTAMARIA PEREZ, GLORIA</v>
          </cell>
          <cell r="F47" t="str">
            <v>Gerència de Recursos</v>
          </cell>
          <cell r="G47" t="str">
            <v>Gerència de Recursos</v>
          </cell>
          <cell r="H47" t="str">
            <v>Gestió Econòmico-Financera</v>
          </cell>
          <cell r="I47" t="str">
            <v>RECURSOS</v>
          </cell>
          <cell r="J47" t="str">
            <v>RECURSOS I ALCALDIA</v>
          </cell>
        </row>
        <row r="48">
          <cell r="A48" t="str">
            <v>SER0047</v>
          </cell>
          <cell r="B48" t="str">
            <v>Manteniment i Neteja</v>
          </cell>
          <cell r="C48" t="str">
            <v>CASTRO MORAL, LLUIS</v>
          </cell>
          <cell r="D48" t="str">
            <v>SANTAMARIA PEREZ, GLORIA</v>
          </cell>
          <cell r="E48" t="str">
            <v>SANTAMARIA PEREZ, GLORIA</v>
          </cell>
          <cell r="F48" t="str">
            <v>Gerència de Recursos</v>
          </cell>
          <cell r="G48" t="str">
            <v>Gerència de Recursos</v>
          </cell>
          <cell r="H48" t="str">
            <v>Gestió Econòmico-Financera</v>
          </cell>
          <cell r="I48" t="str">
            <v>RECURSOS</v>
          </cell>
          <cell r="J48" t="str">
            <v>RECURSOS I ALCALDIA</v>
          </cell>
        </row>
        <row r="49">
          <cell r="A49" t="str">
            <v>SER0048</v>
          </cell>
          <cell r="B49" t="str">
            <v>Concesions</v>
          </cell>
          <cell r="C49" t="str">
            <v>RUBIO PARRA, ISABEL</v>
          </cell>
          <cell r="D49" t="str">
            <v>CASTRO MORAL, LLUIS</v>
          </cell>
          <cell r="E49" t="str">
            <v>TORTOLA FERNANDEZ, JOSE A.</v>
          </cell>
          <cell r="F49" t="str">
            <v>Gerència de Recursos</v>
          </cell>
          <cell r="G49" t="str">
            <v>Gerència de Presidència i Economia</v>
          </cell>
          <cell r="H49" t="str">
            <v>Gestió Econòmico-Financera</v>
          </cell>
          <cell r="I49" t="str">
            <v>PRESIDÈNCIA I ECONOMIA</v>
          </cell>
          <cell r="J49" t="str">
            <v>PRESIDÈNCIA I ECONOMIA</v>
          </cell>
        </row>
        <row r="50">
          <cell r="A50" t="str">
            <v>SER0049</v>
          </cell>
          <cell r="B50" t="str">
            <v>Nòmina SAP</v>
          </cell>
          <cell r="C50" t="str">
            <v>VARELA PINART, GEMMA</v>
          </cell>
          <cell r="D50" t="str">
            <v>PUY CASTELLS, JOSEP</v>
          </cell>
          <cell r="E50" t="str">
            <v>PUY CASTELLS, JOSEP</v>
          </cell>
          <cell r="F50" t="str">
            <v>Gerència de Recursos Humans i Organització</v>
          </cell>
          <cell r="G50" t="str">
            <v>Gerència de Recursos Humans i Organització</v>
          </cell>
          <cell r="H50" t="str">
            <v>Recursos Humans</v>
          </cell>
          <cell r="I50" t="str">
            <v>RRHH I ORGANITZACIÓ</v>
          </cell>
          <cell r="J50" t="str">
            <v>RRHH I ORGANITZACIÓ</v>
          </cell>
        </row>
        <row r="51">
          <cell r="A51" t="str">
            <v>SER0050</v>
          </cell>
          <cell r="B51" t="str">
            <v>Tramits Multiempresa (Notes)</v>
          </cell>
          <cell r="C51" t="str">
            <v>VARELA PINART, GEMMA</v>
          </cell>
          <cell r="D51" t="str">
            <v>PUY CASTELLS, JOSEP</v>
          </cell>
          <cell r="E51" t="str">
            <v>PUY CASTELLS, JOSEP</v>
          </cell>
          <cell r="F51" t="str">
            <v>Gerència de Recursos Humans i Organització</v>
          </cell>
          <cell r="G51" t="str">
            <v>Gerència de Recursos Humans i Organització</v>
          </cell>
          <cell r="H51" t="str">
            <v>Recursos Humans</v>
          </cell>
          <cell r="I51" t="str">
            <v>RRHH I ORGANITZACIÓ</v>
          </cell>
          <cell r="J51" t="str">
            <v>RRHH I ORGANITZACIÓ</v>
          </cell>
        </row>
        <row r="52">
          <cell r="A52" t="str">
            <v>SER0051</v>
          </cell>
          <cell r="B52" t="str">
            <v>Control de Presencia</v>
          </cell>
          <cell r="C52" t="str">
            <v>PUIG PONS, XAVIER</v>
          </cell>
          <cell r="D52" t="str">
            <v>PUY CASTELLS, JOSEP</v>
          </cell>
          <cell r="E52" t="str">
            <v>PUY CASTELLS, JOSEP</v>
          </cell>
          <cell r="F52" t="str">
            <v>Gerència de Recursos Humans i Organització</v>
          </cell>
          <cell r="G52" t="str">
            <v>Gerència de Recursos Humans i Organització</v>
          </cell>
          <cell r="H52" t="str">
            <v>Recursos Humans</v>
          </cell>
          <cell r="I52" t="str">
            <v>RRHH I ORGANITZACIÓ</v>
          </cell>
          <cell r="J52" t="str">
            <v>RRHH I ORGANITZACIÓ</v>
          </cell>
        </row>
        <row r="53">
          <cell r="A53" t="str">
            <v>SER0052</v>
          </cell>
          <cell r="B53" t="str">
            <v>Portal Empleat</v>
          </cell>
          <cell r="C53" t="str">
            <v>CAMA AZOZ, XAVIER</v>
          </cell>
          <cell r="D53" t="str">
            <v>PUY CASTELLS, JOSEP</v>
          </cell>
          <cell r="E53" t="str">
            <v>PUY CASTELLS, JOSEP</v>
          </cell>
          <cell r="F53" t="str">
            <v>Gerència de Recursos Humans i Organització</v>
          </cell>
          <cell r="G53" t="str">
            <v>Gerència de Recursos Humans i Organització</v>
          </cell>
          <cell r="H53" t="str">
            <v>Recursos Humans</v>
          </cell>
          <cell r="I53" t="str">
            <v>RRHH I ORGANITZACIÓ</v>
          </cell>
          <cell r="J53" t="str">
            <v>RRHH I ORGANITZACIÓ</v>
          </cell>
        </row>
        <row r="54">
          <cell r="A54" t="str">
            <v>SER0053</v>
          </cell>
          <cell r="B54" t="str">
            <v>Selecció de personal</v>
          </cell>
          <cell r="C54" t="str">
            <v>ILLAN ROURA, INES</v>
          </cell>
          <cell r="D54" t="str">
            <v>PUY CASTELLS, JOSEP</v>
          </cell>
          <cell r="E54" t="str">
            <v>PUY CASTELLS, JOSEP</v>
          </cell>
          <cell r="F54" t="str">
            <v>Gerència de Recursos Humans i Organització</v>
          </cell>
          <cell r="G54" t="str">
            <v>Gerència de Recursos Humans i Organització</v>
          </cell>
          <cell r="H54" t="str">
            <v>Recursos Humans</v>
          </cell>
          <cell r="I54" t="str">
            <v>RRHH I ORGANITZACIÓ</v>
          </cell>
          <cell r="J54" t="str">
            <v>RRHH I ORGANITZACIÓ</v>
          </cell>
        </row>
        <row r="55">
          <cell r="A55" t="str">
            <v>SER0054</v>
          </cell>
          <cell r="B55" t="str">
            <v>Organització i Administració de Personal</v>
          </cell>
          <cell r="C55" t="str">
            <v>PUY CASTELLS, JOSEP</v>
          </cell>
          <cell r="D55" t="str">
            <v>PUY CASTELLS, JOSEP</v>
          </cell>
          <cell r="E55" t="str">
            <v>PUY CASTELLS, JOSEP</v>
          </cell>
          <cell r="F55" t="str">
            <v>Gerència de Recursos Humans i Organització</v>
          </cell>
          <cell r="G55" t="str">
            <v>Gerència de Recursos Humans i Organització</v>
          </cell>
          <cell r="H55" t="str">
            <v>Recursos Humans</v>
          </cell>
          <cell r="I55" t="str">
            <v>RRHH I ORGANITZACIÓ</v>
          </cell>
          <cell r="J55" t="str">
            <v>RRHH I ORGANITZACIÓ</v>
          </cell>
        </row>
        <row r="56">
          <cell r="A56" t="str">
            <v>SER0055</v>
          </cell>
          <cell r="B56" t="str">
            <v>Desenvolupament de personal</v>
          </cell>
          <cell r="C56" t="str">
            <v>CAMA AZOZ, XAVIER</v>
          </cell>
          <cell r="D56" t="str">
            <v>PUY CASTELLS, JOSEP</v>
          </cell>
          <cell r="E56" t="str">
            <v>PUY CASTELLS, JOSEP</v>
          </cell>
          <cell r="F56" t="str">
            <v>Gerència de Recursos Humans i Organització</v>
          </cell>
          <cell r="G56" t="str">
            <v>Gerència de Recursos Humans i Organització</v>
          </cell>
          <cell r="H56" t="str">
            <v>Recursos Humans</v>
          </cell>
          <cell r="I56" t="str">
            <v>RRHH I ORGANITZACIÓ</v>
          </cell>
          <cell r="J56" t="str">
            <v>RRHH I ORGANITZACIÓ</v>
          </cell>
        </row>
        <row r="57">
          <cell r="A57" t="str">
            <v>SER0056</v>
          </cell>
          <cell r="B57" t="str">
            <v>Notaris</v>
          </cell>
          <cell r="C57" t="str">
            <v>FARRE ALBENDEA, JOAN M.</v>
          </cell>
          <cell r="D57" t="str">
            <v>SERRA FERRANDO, MARTA</v>
          </cell>
          <cell r="E57" t="str">
            <v>SERRA FERRANDO, MARTA</v>
          </cell>
          <cell r="F57" t="str">
            <v>Institut Municipal d'Hisenda de Barcelona</v>
          </cell>
          <cell r="G57" t="str">
            <v>Institut Municipal d'Hisenda de Barcelona</v>
          </cell>
          <cell r="H57" t="str">
            <v>Gestió Tributs i Recaptació (Hisenda)</v>
          </cell>
          <cell r="I57" t="str">
            <v>IMH</v>
          </cell>
          <cell r="J57" t="str">
            <v>IMH</v>
          </cell>
        </row>
        <row r="58">
          <cell r="A58" t="str">
            <v>SER0057</v>
          </cell>
          <cell r="B58" t="str">
            <v>Tributs vehicles</v>
          </cell>
          <cell r="C58" t="str">
            <v>TENES MASCORDA, JOAN</v>
          </cell>
          <cell r="D58" t="str">
            <v>SERRA FERRANDO, MARTA</v>
          </cell>
          <cell r="E58" t="str">
            <v>SERRA FERRANDO, MARTA</v>
          </cell>
          <cell r="F58" t="str">
            <v>Institut Municipal d'Hisenda de Barcelona</v>
          </cell>
          <cell r="G58" t="str">
            <v>Institut Municipal d'Hisenda de Barcelona</v>
          </cell>
          <cell r="H58" t="str">
            <v>Gestió Tributs i Recaptació (Hisenda)</v>
          </cell>
          <cell r="I58" t="str">
            <v>IMH</v>
          </cell>
          <cell r="J58" t="str">
            <v>IMH</v>
          </cell>
        </row>
        <row r="59">
          <cell r="A59" t="str">
            <v>SER0058</v>
          </cell>
          <cell r="B59" t="str">
            <v>Tributs IBI i Cadastre</v>
          </cell>
          <cell r="C59" t="str">
            <v>MIER DE TERAN PAYRO, CARMEN</v>
          </cell>
          <cell r="D59" t="str">
            <v>SERRA FERRANDO, MARTA</v>
          </cell>
          <cell r="E59" t="str">
            <v>SERRA FERRANDO, MARTA</v>
          </cell>
          <cell r="F59" t="str">
            <v>Institut Municipal d'Hisenda de Barcelona</v>
          </cell>
          <cell r="G59" t="str">
            <v>Institut Municipal d'Hisenda de Barcelona</v>
          </cell>
          <cell r="H59" t="str">
            <v>Gestió Tributs i Recaptació (Hisenda)</v>
          </cell>
          <cell r="I59" t="str">
            <v>IMH</v>
          </cell>
          <cell r="J59" t="str">
            <v>IMH</v>
          </cell>
        </row>
        <row r="60">
          <cell r="A60" t="str">
            <v>SER0059</v>
          </cell>
          <cell r="B60" t="str">
            <v>Tributs Plusvàlues</v>
          </cell>
          <cell r="C60" t="str">
            <v>MIER DE TERAN PAYRO, CARMEN</v>
          </cell>
          <cell r="D60" t="str">
            <v>SERRA FERRANDO, MARTA</v>
          </cell>
          <cell r="E60" t="str">
            <v>SERRA FERRANDO, MARTA</v>
          </cell>
          <cell r="F60" t="str">
            <v>Institut Municipal d'Hisenda de Barcelona</v>
          </cell>
          <cell r="G60" t="str">
            <v>Institut Municipal d'Hisenda de Barcelona</v>
          </cell>
          <cell r="H60" t="str">
            <v>Gestió Tributs i Recaptació (Hisenda)</v>
          </cell>
          <cell r="I60" t="str">
            <v>IMH</v>
          </cell>
          <cell r="J60" t="str">
            <v>IMH</v>
          </cell>
        </row>
        <row r="61">
          <cell r="A61" t="str">
            <v>SER0060</v>
          </cell>
          <cell r="B61" t="str">
            <v>Tributs IAE</v>
          </cell>
          <cell r="C61" t="str">
            <v>NIVELA ALOS, CONXITA</v>
          </cell>
          <cell r="D61" t="str">
            <v>SERRA FERRANDO, MARTA</v>
          </cell>
          <cell r="E61" t="str">
            <v>SERRA FERRANDO, MARTA</v>
          </cell>
          <cell r="F61" t="str">
            <v>Institut Municipal d'Hisenda de Barcelona</v>
          </cell>
          <cell r="G61" t="str">
            <v>Institut Municipal d'Hisenda de Barcelona</v>
          </cell>
          <cell r="H61" t="str">
            <v>Gestió Tributs i Recaptació (Hisenda)</v>
          </cell>
          <cell r="I61" t="str">
            <v>IMH</v>
          </cell>
          <cell r="J61" t="str">
            <v>IMH</v>
          </cell>
        </row>
        <row r="62">
          <cell r="A62" t="str">
            <v>SER0061</v>
          </cell>
          <cell r="B62" t="str">
            <v>Tributs Residus</v>
          </cell>
          <cell r="C62" t="str">
            <v>NIVELA ALOS, CONXITA</v>
          </cell>
          <cell r="D62" t="str">
            <v>SERRA FERRANDO, MARTA</v>
          </cell>
          <cell r="E62" t="str">
            <v>SERRA FERRANDO, MARTA</v>
          </cell>
          <cell r="F62" t="str">
            <v>Institut Municipal d'Hisenda de Barcelona</v>
          </cell>
          <cell r="G62" t="str">
            <v>Institut Municipal d'Hisenda de Barcelona</v>
          </cell>
          <cell r="H62" t="str">
            <v>Gestió Tributs i Recaptació (Hisenda)</v>
          </cell>
          <cell r="I62" t="str">
            <v>IMH</v>
          </cell>
          <cell r="J62" t="str">
            <v>IMH</v>
          </cell>
        </row>
        <row r="63">
          <cell r="A63" t="str">
            <v>SER0062</v>
          </cell>
          <cell r="B63" t="str">
            <v>Tributs Guals i vetlladors (Padró)</v>
          </cell>
          <cell r="C63" t="str">
            <v>SOLDEVILA GUELL, JOSEP</v>
          </cell>
          <cell r="D63" t="str">
            <v>SERRA FERRANDO, MARTA</v>
          </cell>
          <cell r="E63" t="str">
            <v>SERRA FERRANDO, MARTA</v>
          </cell>
          <cell r="F63" t="str">
            <v>Institut Municipal d'Hisenda de Barcelona</v>
          </cell>
          <cell r="G63" t="str">
            <v>Institut Municipal d'Hisenda de Barcelona</v>
          </cell>
          <cell r="H63" t="str">
            <v>Gestió Tributs i Recaptació (Hisenda)</v>
          </cell>
          <cell r="I63" t="str">
            <v>IMH</v>
          </cell>
          <cell r="J63" t="str">
            <v>IMH</v>
          </cell>
        </row>
        <row r="64">
          <cell r="A64" t="str">
            <v>SER0063</v>
          </cell>
          <cell r="B64" t="str">
            <v>Contribuent</v>
          </cell>
          <cell r="C64" t="str">
            <v>ANTON SANTOS, JOSEP LLUI</v>
          </cell>
          <cell r="D64" t="str">
            <v>SERRA FERRANDO, MARTA</v>
          </cell>
          <cell r="E64" t="str">
            <v>SERRA FERRANDO, MARTA</v>
          </cell>
          <cell r="F64" t="str">
            <v>Institut Municipal d'Hisenda de Barcelona</v>
          </cell>
          <cell r="G64" t="str">
            <v>Institut Municipal d'Hisenda de Barcelona</v>
          </cell>
          <cell r="H64" t="str">
            <v>Gestió Tributs i Recaptació (Hisenda)</v>
          </cell>
          <cell r="I64" t="str">
            <v>IMH</v>
          </cell>
          <cell r="J64" t="str">
            <v>IMH</v>
          </cell>
        </row>
        <row r="65">
          <cell r="A65" t="str">
            <v>SER0064</v>
          </cell>
          <cell r="B65" t="str">
            <v>Recaptació</v>
          </cell>
          <cell r="C65" t="str">
            <v>MARCE PUJOL, ALEXANDRE</v>
          </cell>
          <cell r="D65" t="str">
            <v>SERRA FERRANDO, MARTA</v>
          </cell>
          <cell r="E65" t="str">
            <v>SERRA FERRANDO, MARTA</v>
          </cell>
          <cell r="F65" t="str">
            <v>Institut Municipal d'Hisenda de Barcelona</v>
          </cell>
          <cell r="G65" t="str">
            <v>Institut Municipal d'Hisenda de Barcelona</v>
          </cell>
          <cell r="H65" t="str">
            <v>Gestió Tributs i Recaptació (Hisenda)</v>
          </cell>
          <cell r="I65" t="str">
            <v>IMH</v>
          </cell>
          <cell r="J65" t="str">
            <v>IMH</v>
          </cell>
        </row>
        <row r="66">
          <cell r="A66" t="str">
            <v>SER0065</v>
          </cell>
          <cell r="B66" t="str">
            <v>Passarel·la de pagament</v>
          </cell>
          <cell r="C66" t="str">
            <v>FARRE ALBENDEA, JOAN M.</v>
          </cell>
          <cell r="D66" t="str">
            <v>TRIAS JUNCOSA, JAUME</v>
          </cell>
          <cell r="E66" t="str">
            <v>TRIAS JUNCOSA, JAUME</v>
          </cell>
          <cell r="F66" t="str">
            <v>Institut Municipal d'Hisenda de Barcelona</v>
          </cell>
          <cell r="G66" t="str">
            <v>Institut Municipal d'Hisenda de Barcelona</v>
          </cell>
          <cell r="H66" t="str">
            <v>Atenció al Ciutadà</v>
          </cell>
          <cell r="I66" t="str">
            <v>SERVEIS COMUNS ADMINISTRACIÓ ELECTRÓNICA</v>
          </cell>
          <cell r="J66" t="str">
            <v>TRAMITACIÓ, PORTAL I CARPETES</v>
          </cell>
        </row>
        <row r="67">
          <cell r="A67" t="str">
            <v>SER0066</v>
          </cell>
          <cell r="B67" t="str">
            <v>Inspeccions, Liquidacions, autoliquidacions i facturació</v>
          </cell>
          <cell r="C67" t="str">
            <v>FARRE ALBENDEA, JOAN M.</v>
          </cell>
          <cell r="D67" t="str">
            <v>SERRA FERRANDO, MARTA</v>
          </cell>
          <cell r="E67" t="str">
            <v>SERRA FERRANDO, MARTA</v>
          </cell>
          <cell r="F67" t="str">
            <v>Institut Municipal d'Hisenda de Barcelona</v>
          </cell>
          <cell r="G67" t="str">
            <v>Institut Municipal d'Hisenda de Barcelona</v>
          </cell>
          <cell r="H67" t="str">
            <v>Gestió Tributs i Recaptació (Hisenda)</v>
          </cell>
          <cell r="I67" t="str">
            <v>IMH</v>
          </cell>
          <cell r="J67" t="str">
            <v>IMH</v>
          </cell>
        </row>
        <row r="68">
          <cell r="A68" t="str">
            <v>SER0067</v>
          </cell>
          <cell r="B68" t="str">
            <v>Embargaments</v>
          </cell>
          <cell r="C68" t="str">
            <v>GOMEZ VILLADANGOS, JOSE</v>
          </cell>
          <cell r="D68" t="str">
            <v>SERRA FERRANDO, MARTA</v>
          </cell>
          <cell r="E68" t="str">
            <v>SERRA FERRANDO, MARTA</v>
          </cell>
          <cell r="F68" t="str">
            <v>Institut Municipal d'Hisenda de Barcelona</v>
          </cell>
          <cell r="G68" t="str">
            <v>Institut Municipal d'Hisenda de Barcelona</v>
          </cell>
          <cell r="H68" t="str">
            <v>Gestió Tributs i Recaptació (Hisenda)</v>
          </cell>
          <cell r="I68" t="str">
            <v>IMH</v>
          </cell>
          <cell r="J68" t="str">
            <v>IMH</v>
          </cell>
        </row>
        <row r="69">
          <cell r="A69" t="str">
            <v>SER0068</v>
          </cell>
          <cell r="B69" t="str">
            <v>Gestió Sancions</v>
          </cell>
          <cell r="C69" t="str">
            <v>ALEMANY SERRA, FRANCESC</v>
          </cell>
          <cell r="D69" t="str">
            <v>SERRA FERRANDO, MARTA</v>
          </cell>
          <cell r="E69" t="str">
            <v>SERRA FERRANDO, MARTA</v>
          </cell>
          <cell r="F69" t="str">
            <v>Institut Municipal d'Hisenda de Barcelona</v>
          </cell>
          <cell r="G69" t="str">
            <v>Institut Municipal d'Hisenda de Barcelona</v>
          </cell>
          <cell r="H69" t="str">
            <v>Gestió Tributs i Recaptació (Hisenda)</v>
          </cell>
          <cell r="I69" t="str">
            <v>IMH</v>
          </cell>
          <cell r="J69" t="str">
            <v>IMH</v>
          </cell>
        </row>
        <row r="70">
          <cell r="A70" t="str">
            <v>SER0069</v>
          </cell>
          <cell r="B70" t="str">
            <v>Arxiu d'imatges digitalitzades</v>
          </cell>
          <cell r="C70" t="str">
            <v>RIBAS IBAÑEZ, FRANCESC</v>
          </cell>
          <cell r="D70" t="str">
            <v>SERRA FERRANDO, MARTA</v>
          </cell>
          <cell r="E70" t="str">
            <v>SERRA FERRANDO, MARTA</v>
          </cell>
          <cell r="F70" t="str">
            <v>Institut Municipal d'Hisenda de Barcelona</v>
          </cell>
          <cell r="G70" t="str">
            <v>Institut Municipal d'Hisenda de Barcelona</v>
          </cell>
          <cell r="H70" t="str">
            <v>Gestió Tributs i Recaptació (Hisenda)</v>
          </cell>
          <cell r="I70" t="str">
            <v>IMH</v>
          </cell>
          <cell r="J70" t="str">
            <v>IMH</v>
          </cell>
        </row>
        <row r="71">
          <cell r="A71" t="str">
            <v>SER0070</v>
          </cell>
          <cell r="B71" t="str">
            <v>Notificacions electróniques</v>
          </cell>
          <cell r="C71" t="str">
            <v>ALEMANY SERRA, FRANCESC</v>
          </cell>
          <cell r="D71" t="str">
            <v>TRIAS JUNCOSA, JAUME</v>
          </cell>
          <cell r="E71" t="str">
            <v>TRIAS JUNCOSA, JAUME</v>
          </cell>
          <cell r="F71" t="str">
            <v>Institut Municipal d'Hisenda de Barcelona</v>
          </cell>
          <cell r="G71" t="str">
            <v>Institut Municipal d'Hisenda de Barcelona</v>
          </cell>
          <cell r="H71" t="str">
            <v>Atenció al Ciutadà</v>
          </cell>
          <cell r="I71" t="str">
            <v>SERVEIS COMUNS ADMINISTRACIÓ ELECTRÓNICA</v>
          </cell>
          <cell r="J71" t="str">
            <v>TRAMITACIÓ, PORTAL I CARPETES</v>
          </cell>
        </row>
        <row r="72">
          <cell r="A72" t="str">
            <v>SER0071</v>
          </cell>
          <cell r="B72" t="str">
            <v>Aplicatiu PDA GUB</v>
          </cell>
          <cell r="C72" t="str">
            <v>LARA ARANA, NURIA</v>
          </cell>
          <cell r="D72" t="str">
            <v>TORTOLA FERNANDEZ, JOSE A.</v>
          </cell>
          <cell r="E72" t="str">
            <v>CLOTET CIRUELO, JOSEP</v>
          </cell>
          <cell r="F72" t="str">
            <v>Gerència de Prevenció, Seguretat i Mobilitat</v>
          </cell>
          <cell r="G72" t="str">
            <v>Gerència de Seguretat i Prevenció</v>
          </cell>
          <cell r="H72" t="str">
            <v>Espai Urbà</v>
          </cell>
          <cell r="I72" t="str">
            <v>SEGURETAT I PREVENCIÓ</v>
          </cell>
          <cell r="J72" t="str">
            <v>SEGURETAT I PREVENCIÓ</v>
          </cell>
        </row>
        <row r="73">
          <cell r="A73" t="str">
            <v>SER0072</v>
          </cell>
          <cell r="B73" t="str">
            <v>Oficines d'Habitatge</v>
          </cell>
          <cell r="C73">
            <v>0</v>
          </cell>
          <cell r="D73" t="str">
            <v>TORTOLA FERNANDEZ, JOSE A.</v>
          </cell>
          <cell r="E73" t="str">
            <v>JIMENEZ ORANTES, PACO</v>
          </cell>
          <cell r="F73" t="str">
            <v>Gerència d'Hàbitat Urbà</v>
          </cell>
          <cell r="G73" t="str">
            <v>Gerència de Drets Socials</v>
          </cell>
          <cell r="H73" t="str">
            <v>Espai Urbà</v>
          </cell>
          <cell r="I73" t="str">
            <v>ECOLOGIA URBANA. URBANISME</v>
          </cell>
          <cell r="J73" t="str">
            <v>ECOLOGIA URBANA. URBANISME</v>
          </cell>
        </row>
        <row r="74">
          <cell r="A74" t="str">
            <v>SER0073</v>
          </cell>
          <cell r="B74" t="str">
            <v>Inspeccions</v>
          </cell>
          <cell r="C74" t="str">
            <v>SOLA PUY, ALFRED</v>
          </cell>
          <cell r="D74" t="str">
            <v>TORTOLA FERNANDEZ, JOSE A.</v>
          </cell>
          <cell r="E74" t="str">
            <v>GUILLEN BELLIDO, JOSÉ MIGUEL</v>
          </cell>
          <cell r="F74" t="str">
            <v>Gerència d'Hàbitat Urbà</v>
          </cell>
          <cell r="G74" t="str">
            <v>Gerència Ecologia Urbana</v>
          </cell>
          <cell r="H74" t="str">
            <v>Espai Urbà</v>
          </cell>
          <cell r="I74" t="str">
            <v>ECOLOGIA URBANA. URBANISME</v>
          </cell>
          <cell r="J74" t="str">
            <v>ECOLOGIA URBANA. URBANISME</v>
          </cell>
        </row>
        <row r="75">
          <cell r="A75" t="str">
            <v>SER0074</v>
          </cell>
          <cell r="B75" t="str">
            <v>Expedient Electrònic - OEP - GUB</v>
          </cell>
          <cell r="C75" t="str">
            <v>Arias Lopez, Laura</v>
          </cell>
          <cell r="D75" t="str">
            <v>TORTOLA FERNANDEZ, JOSE A.</v>
          </cell>
          <cell r="E75" t="str">
            <v>CLOTET CIRUELO, JOSEP</v>
          </cell>
          <cell r="F75" t="str">
            <v>Gerència de Prevenció, Seguretat i Mobilitat</v>
          </cell>
          <cell r="G75" t="str">
            <v>Gerència de Seguretat i Prevenció</v>
          </cell>
          <cell r="H75" t="str">
            <v>Espai Urbà</v>
          </cell>
          <cell r="I75" t="str">
            <v>SEGURETAT I PREVENCIÓ</v>
          </cell>
          <cell r="J75" t="str">
            <v>SEGURETAT I PREVENCIÓ</v>
          </cell>
        </row>
        <row r="76">
          <cell r="A76" t="str">
            <v>SER0075</v>
          </cell>
          <cell r="B76" t="str">
            <v>Expedient Electrònic - Obres</v>
          </cell>
          <cell r="C76" t="str">
            <v>SOLA PUY, ALFRED</v>
          </cell>
          <cell r="D76" t="str">
            <v>TORTOLA FERNANDEZ, JOSE A.</v>
          </cell>
          <cell r="E76" t="str">
            <v>GUILLEN BELLIDO, JOSÉ MIGUEL</v>
          </cell>
          <cell r="F76" t="str">
            <v>Gerència d'Hàbitat Urbà</v>
          </cell>
          <cell r="G76" t="str">
            <v>Gerència Ecologia Urbana</v>
          </cell>
          <cell r="H76" t="str">
            <v>Espai Urbà</v>
          </cell>
          <cell r="I76" t="str">
            <v>ECOLOGIA URBANA. URBANISME</v>
          </cell>
          <cell r="J76" t="str">
            <v>ECOLOGIA URBANA. URBANISME</v>
          </cell>
        </row>
        <row r="77">
          <cell r="A77" t="str">
            <v>SER0076</v>
          </cell>
          <cell r="B77" t="str">
            <v>Gestió Accidents de la GUB</v>
          </cell>
          <cell r="C77" t="str">
            <v>VALDIVIELSO POZA, YOLANDA</v>
          </cell>
          <cell r="D77" t="str">
            <v>TORTOLA FERNANDEZ, JOSE A.</v>
          </cell>
          <cell r="E77" t="str">
            <v>CLOTET CIRUELO, JOSEP</v>
          </cell>
          <cell r="F77" t="str">
            <v>Gerència de Prevenció, Seguretat i Mobilitat</v>
          </cell>
          <cell r="G77" t="str">
            <v>Gerència de Seguretat i Prevenció</v>
          </cell>
          <cell r="H77" t="str">
            <v>Espai Urbà</v>
          </cell>
          <cell r="I77" t="str">
            <v>SEGURETAT I PREVENCIÓ</v>
          </cell>
          <cell r="J77" t="str">
            <v>SEGURETAT I PREVENCIÓ</v>
          </cell>
        </row>
        <row r="78">
          <cell r="A78" t="str">
            <v>SER0077</v>
          </cell>
          <cell r="B78" t="str">
            <v>Mapa d'Ocupació de la Via Pública</v>
          </cell>
          <cell r="C78" t="str">
            <v>VALDIVIELSO POZA, YOLANDA</v>
          </cell>
          <cell r="D78" t="str">
            <v>TORTOLA FERNANDEZ, JOSE A.</v>
          </cell>
          <cell r="E78" t="str">
            <v>CLOTET CIRUELO, JOSEP</v>
          </cell>
          <cell r="F78" t="str">
            <v>Gerència de Prevenció, Seguretat i Mobilitat</v>
          </cell>
          <cell r="G78" t="str">
            <v>Gerència Ecologia Urbana</v>
          </cell>
          <cell r="H78" t="str">
            <v>Espai Urbà</v>
          </cell>
          <cell r="I78" t="str">
            <v>ECOLOGIA URBANA. URBANISME</v>
          </cell>
          <cell r="J78" t="str">
            <v>ECOLOGIA URBANA. URBANISME</v>
          </cell>
        </row>
        <row r="79">
          <cell r="A79" t="str">
            <v>SER0078</v>
          </cell>
          <cell r="B79" t="str">
            <v>Aparcament Àrea Verda</v>
          </cell>
          <cell r="C79" t="str">
            <v>VENTURA AIXA, INMACULADA</v>
          </cell>
          <cell r="D79" t="str">
            <v>TORTOLA FERNANDEZ, JOSE A.</v>
          </cell>
          <cell r="E79" t="str">
            <v>CLOTET CIRUELO, JOSEP</v>
          </cell>
          <cell r="F79" t="str">
            <v>Gerència de Prevenció, Seguretat i Mobilitat</v>
          </cell>
          <cell r="G79" t="str">
            <v>Gerència de Seguretat i Prevenció</v>
          </cell>
          <cell r="H79" t="str">
            <v>Espai Urbà</v>
          </cell>
          <cell r="I79" t="str">
            <v>ECOLOGIA URBANA. MOBILITAT I INFRASTRUCTURES</v>
          </cell>
          <cell r="J79" t="str">
            <v>ECOLOGIA URBANA. MOBILITAT I INFRASTRUCTURES</v>
          </cell>
        </row>
        <row r="80">
          <cell r="A80" t="str">
            <v>SER0079</v>
          </cell>
          <cell r="B80" t="str">
            <v>Gestió de personal de la GUB</v>
          </cell>
          <cell r="C80" t="str">
            <v>RAMIS JUAN, MONTSERRAT</v>
          </cell>
          <cell r="D80" t="str">
            <v>TORTOLA FERNANDEZ, JOSE A.</v>
          </cell>
          <cell r="E80" t="str">
            <v>CLOTET CIRUELO, JOSEP</v>
          </cell>
          <cell r="F80" t="str">
            <v>Gerència de Prevenció, Seguretat i Mobilitat</v>
          </cell>
          <cell r="G80" t="str">
            <v>Gerència de Seguretat i Prevenció</v>
          </cell>
          <cell r="H80" t="str">
            <v>Espai Urbà</v>
          </cell>
          <cell r="I80" t="str">
            <v>SEGURETAT I PREVENCIÓ</v>
          </cell>
          <cell r="J80" t="str">
            <v>SEGURETAT I PREVENCIÓ</v>
          </cell>
        </row>
        <row r="81">
          <cell r="A81" t="str">
            <v>SER0080</v>
          </cell>
          <cell r="B81" t="str">
            <v>Gestió de les sancions de trànsit de la GUB (Galileo)</v>
          </cell>
          <cell r="C81" t="str">
            <v>ALVAREZ ALVAREZ, M. AMELIA</v>
          </cell>
          <cell r="D81" t="str">
            <v>TORTOLA FERNANDEZ, JOSE A.</v>
          </cell>
          <cell r="E81" t="str">
            <v>CLOTET CIRUELO, JOSEP</v>
          </cell>
          <cell r="F81" t="str">
            <v>Gerència de Prevenció, Seguretat i Mobilitat</v>
          </cell>
          <cell r="G81" t="str">
            <v>Gerència de Seguretat i Prevenció</v>
          </cell>
          <cell r="H81" t="str">
            <v>Espai Urbà</v>
          </cell>
          <cell r="I81" t="str">
            <v>SEGURETAT I PREVENCIÓ</v>
          </cell>
          <cell r="J81" t="str">
            <v>SEGURETAT I PREVENCIÓ</v>
          </cell>
        </row>
        <row r="82">
          <cell r="A82" t="str">
            <v>SER0081</v>
          </cell>
          <cell r="B82" t="str">
            <v>Emergències a la Via Pública</v>
          </cell>
          <cell r="C82" t="str">
            <v>LOSADA TELLO, MANUEL DE</v>
          </cell>
          <cell r="D82" t="str">
            <v>TORTOLA FERNANDEZ, JOSE A.</v>
          </cell>
          <cell r="E82" t="str">
            <v>CLOTET CIRUELO, JOSEP</v>
          </cell>
          <cell r="F82" t="str">
            <v>Gerència de Prevenció, Seguretat i Mobilitat</v>
          </cell>
          <cell r="G82" t="str">
            <v>Gerència de Seguretat i Prevenció</v>
          </cell>
          <cell r="H82" t="str">
            <v>Espai Urbà</v>
          </cell>
          <cell r="I82" t="str">
            <v>SEGURETAT I PREVENCIÓ</v>
          </cell>
          <cell r="J82" t="str">
            <v>SEGURETAT I PREVENCIÓ</v>
          </cell>
        </row>
        <row r="83">
          <cell r="A83" t="str">
            <v>SER0082</v>
          </cell>
          <cell r="B83" t="str">
            <v>Transports Especials</v>
          </cell>
          <cell r="C83" t="str">
            <v>GARCIA GONZALEZ, JOSEP</v>
          </cell>
          <cell r="D83" t="str">
            <v>TORTOLA FERNANDEZ, JOSE A.</v>
          </cell>
          <cell r="E83" t="str">
            <v>CLOTET CIRUELO, JOSEP</v>
          </cell>
          <cell r="F83" t="str">
            <v>Gerència de Prevenció, Seguretat i Mobilitat</v>
          </cell>
          <cell r="G83" t="str">
            <v>Gerència de Seguretat i Prevenció</v>
          </cell>
          <cell r="H83" t="str">
            <v>Espai Urbà</v>
          </cell>
          <cell r="I83" t="str">
            <v>SEGURETAT I PREVENCIÓ</v>
          </cell>
          <cell r="J83" t="str">
            <v>SEGURETAT I PREVENCIÓ</v>
          </cell>
        </row>
        <row r="84">
          <cell r="A84" t="str">
            <v>SER0083</v>
          </cell>
          <cell r="B84" t="e">
            <v>#N/A</v>
          </cell>
          <cell r="C84" t="str">
            <v>MARCH COROMINAS, MERCEDES</v>
          </cell>
          <cell r="D84" t="str">
            <v>TORTOLA FERNANDEZ, JOSE A.</v>
          </cell>
          <cell r="E84" t="e">
            <v>#N/A</v>
          </cell>
          <cell r="F84" t="str">
            <v>Gerència de Recursos</v>
          </cell>
          <cell r="G84" t="e">
            <v>#N/A</v>
          </cell>
          <cell r="H84" t="str">
            <v>Espai Urbà</v>
          </cell>
          <cell r="I84" t="e">
            <v>#N/A</v>
          </cell>
          <cell r="J84" t="str">
            <v>ECOLOGIA URBANA. URBANISME</v>
          </cell>
        </row>
        <row r="85">
          <cell r="A85" t="str">
            <v>SER0084</v>
          </cell>
          <cell r="B85" t="str">
            <v>Paisatge Urbà i Publicitat</v>
          </cell>
          <cell r="C85" t="str">
            <v>SOLA PUY, ALFRED</v>
          </cell>
          <cell r="D85" t="str">
            <v>TORTOLA FERNANDEZ, JOSE A.</v>
          </cell>
          <cell r="E85" t="str">
            <v>GUILLEN BELLIDO, JOSÉ MIGUEL</v>
          </cell>
          <cell r="F85" t="str">
            <v>Gerència d'Hàbitat Urbà</v>
          </cell>
          <cell r="G85" t="str">
            <v>Gerència Ecologia Urbana</v>
          </cell>
          <cell r="H85" t="str">
            <v>Espai Urbà</v>
          </cell>
          <cell r="I85" t="str">
            <v>ECOLOGIA URBANA. URBANISME</v>
          </cell>
          <cell r="J85" t="str">
            <v>ECOLOGIA URBANA. URBANISME</v>
          </cell>
        </row>
        <row r="86">
          <cell r="A86" t="str">
            <v>SER0085</v>
          </cell>
          <cell r="B86" t="str">
            <v>Natura Aigua</v>
          </cell>
          <cell r="C86" t="str">
            <v>Otero Escribano, Fernando</v>
          </cell>
          <cell r="D86" t="str">
            <v>TORTOLA FERNANDEZ, JOSE A.</v>
          </cell>
          <cell r="E86" t="str">
            <v>CIRERA GONZALEZ, JORDI</v>
          </cell>
          <cell r="F86" t="str">
            <v>Gerència d'Hàbitat Urbà</v>
          </cell>
          <cell r="G86" t="str">
            <v>Gerència Ecologia Urbana</v>
          </cell>
          <cell r="H86" t="str">
            <v>Espai Urbà</v>
          </cell>
          <cell r="I86" t="str">
            <v>ECOLOGIA URBANA. MEDI AMBIENT I SERVEIS URBANS</v>
          </cell>
          <cell r="J86" t="str">
            <v>ECOLOGIA URBANA. MEDI AMBIENT I SERVEIS URBANS</v>
          </cell>
        </row>
        <row r="87">
          <cell r="A87" t="str">
            <v>SER0086</v>
          </cell>
          <cell r="B87" t="str">
            <v>Natura Espais Verds</v>
          </cell>
          <cell r="C87" t="str">
            <v>Otero Escribano, Fernando</v>
          </cell>
          <cell r="D87" t="str">
            <v>TORTOLA FERNANDEZ, JOSE A.</v>
          </cell>
          <cell r="E87" t="str">
            <v>CIRERA GONZALEZ, JORDI</v>
          </cell>
          <cell r="F87" t="str">
            <v>Gerència d'Hàbitat Urbà</v>
          </cell>
          <cell r="G87" t="str">
            <v>Gerència Ecologia Urbana</v>
          </cell>
          <cell r="H87" t="str">
            <v>Espai Urbà</v>
          </cell>
          <cell r="I87" t="str">
            <v>ECOLOGIA URBANA. MEDI AMBIENT I SERVEIS URBANS</v>
          </cell>
          <cell r="J87" t="str">
            <v>ECOLOGIA URBANA. MEDI AMBIENT I SERVEIS URBANS</v>
          </cell>
        </row>
        <row r="88">
          <cell r="A88" t="str">
            <v>SER0087</v>
          </cell>
          <cell r="B88" t="str">
            <v>Natura Neteja</v>
          </cell>
          <cell r="C88" t="str">
            <v>Otero Escribano, Fernando</v>
          </cell>
          <cell r="D88" t="str">
            <v>TORTOLA FERNANDEZ, JOSE A.</v>
          </cell>
          <cell r="E88" t="str">
            <v>CIRERA GONZALEZ, JORDI</v>
          </cell>
          <cell r="F88" t="str">
            <v>Gerència d'Hàbitat Urbà</v>
          </cell>
          <cell r="G88" t="str">
            <v>Gerència Ecologia Urbana</v>
          </cell>
          <cell r="H88" t="str">
            <v>Espai Urbà</v>
          </cell>
          <cell r="I88" t="str">
            <v>ECOLOGIA URBANA. MEDI AMBIENT I SERVEIS URBANS</v>
          </cell>
          <cell r="J88" t="str">
            <v>ECOLOGIA URBANA. MEDI AMBIENT I SERVEIS URBANS</v>
          </cell>
        </row>
        <row r="89">
          <cell r="A89" t="str">
            <v>SER0088</v>
          </cell>
          <cell r="B89" t="str">
            <v>Natura Norma Granada</v>
          </cell>
          <cell r="C89" t="str">
            <v>Otero Escribano, Fernando</v>
          </cell>
          <cell r="D89" t="str">
            <v>TORTOLA FERNANDEZ, JOSE A.</v>
          </cell>
          <cell r="E89" t="str">
            <v>CIRERA GONZALEZ, JORDI</v>
          </cell>
          <cell r="F89" t="str">
            <v>Gerència d'Hàbitat Urbà</v>
          </cell>
          <cell r="G89" t="str">
            <v>Gerència Ecologia Urbana</v>
          </cell>
          <cell r="H89" t="str">
            <v>Espai Urbà</v>
          </cell>
          <cell r="I89" t="str">
            <v>ECOLOGIA URBANA. MEDI AMBIENT I SERVEIS URBANS</v>
          </cell>
          <cell r="J89" t="str">
            <v>ECOLOGIA URBANA. MEDI AMBIENT I SERVEIS URBANS</v>
          </cell>
        </row>
        <row r="90">
          <cell r="A90" t="str">
            <v>SER0089</v>
          </cell>
          <cell r="B90" t="str">
            <v>Gestió Pavimentació (Pavinform)</v>
          </cell>
          <cell r="C90" t="str">
            <v>Otero Escribano, Fernando</v>
          </cell>
          <cell r="D90" t="str">
            <v>TORTOLA FERNANDEZ, JOSE A.</v>
          </cell>
          <cell r="E90" t="str">
            <v>ORTUÑO RIBE, JORDI</v>
          </cell>
          <cell r="F90" t="str">
            <v>Gerència d'Hàbitat Urbà</v>
          </cell>
          <cell r="G90" t="str">
            <v>Gerència Ecologia Urbana</v>
          </cell>
          <cell r="H90" t="str">
            <v>Espai Urbà</v>
          </cell>
          <cell r="I90" t="str">
            <v>ECOLOGIA URBANA. MOBILITAT I INFRASTRUCTURES</v>
          </cell>
          <cell r="J90" t="str">
            <v>ECOLOGIA URBANA. MEDI AMBIENT I SERVEIS URBANS</v>
          </cell>
        </row>
        <row r="91">
          <cell r="A91" t="str">
            <v>SER0090</v>
          </cell>
          <cell r="B91" t="str">
            <v>Natura Inversions</v>
          </cell>
          <cell r="C91" t="str">
            <v>Otero Escribano, Fernando</v>
          </cell>
          <cell r="D91" t="str">
            <v>TORTOLA FERNANDEZ, JOSE A.</v>
          </cell>
          <cell r="E91" t="str">
            <v>ORTUÑO RIBE, JORDI</v>
          </cell>
          <cell r="F91" t="str">
            <v>Gerència d'Hàbitat Urbà</v>
          </cell>
          <cell r="G91" t="str">
            <v>Gerència Ecologia Urbana</v>
          </cell>
          <cell r="H91" t="str">
            <v>Espai Urbà</v>
          </cell>
          <cell r="I91" t="str">
            <v>ECOLOGIA URBANA. MOBILITAT I INFRASTRUCTURES</v>
          </cell>
          <cell r="J91" t="str">
            <v>ECOLOGIA URBANA. MEDI AMBIENT I SERVEIS URBANS</v>
          </cell>
        </row>
        <row r="92">
          <cell r="A92" t="str">
            <v>SER0091</v>
          </cell>
          <cell r="B92" t="str">
            <v>Catàleg Patrimoni, Monuments i Certificacions</v>
          </cell>
          <cell r="C92" t="str">
            <v>GARCIA GONZALEZ, JOSEP</v>
          </cell>
          <cell r="D92" t="str">
            <v>TORTOLA FERNANDEZ, JOSE A.</v>
          </cell>
          <cell r="E92" t="str">
            <v>GUILLEN BELLIDO, JOSÉ MIGUEL</v>
          </cell>
          <cell r="F92" t="str">
            <v>Gerència d'Hàbitat Urbà</v>
          </cell>
          <cell r="G92" t="str">
            <v>Gerència Ecologia Urbana</v>
          </cell>
          <cell r="H92" t="str">
            <v>Espai Urbà</v>
          </cell>
          <cell r="I92" t="str">
            <v>ECOLOGIA URBANA. URBANISME</v>
          </cell>
          <cell r="J92" t="str">
            <v>ECOLOGIA URBANA. URBANISME</v>
          </cell>
        </row>
        <row r="93">
          <cell r="A93" t="str">
            <v>SER0092</v>
          </cell>
          <cell r="B93" t="str">
            <v>Gestió, Informació i Publicació d'obres municipals</v>
          </cell>
          <cell r="C93" t="str">
            <v>Otero Escribano, Fernando</v>
          </cell>
          <cell r="D93" t="str">
            <v>TORTOLA FERNANDEZ, JOSE A.</v>
          </cell>
          <cell r="E93" t="str">
            <v>ORTUÑO RIBE, JORGE</v>
          </cell>
          <cell r="F93" t="str">
            <v>Gerència d'Hàbitat Urbà</v>
          </cell>
          <cell r="G93" t="str">
            <v>Gerència Ecologia Urbana</v>
          </cell>
          <cell r="H93" t="str">
            <v>Espai Urbà</v>
          </cell>
          <cell r="I93" t="str">
            <v>ECOLOGIA URBANA. MOBILITAT I INFRASTRUCTURES</v>
          </cell>
          <cell r="J93" t="str">
            <v>ECOLOGIA URBANA. MOBILITAT I INFRASTRUCTURES</v>
          </cell>
        </row>
        <row r="94">
          <cell r="A94" t="str">
            <v>SER0093</v>
          </cell>
          <cell r="B94" t="str">
            <v>CIEP</v>
          </cell>
          <cell r="C94" t="str">
            <v>Otero Escribano, Fernando</v>
          </cell>
          <cell r="D94" t="str">
            <v>TORTOLA FERNANDEZ, JOSE A.</v>
          </cell>
          <cell r="E94" t="str">
            <v>CIRERA GONZALES, JORDI</v>
          </cell>
          <cell r="F94" t="str">
            <v>Gerència d'Hàbitat Urbà</v>
          </cell>
          <cell r="G94" t="str">
            <v>Gerència Ecologia Urbana</v>
          </cell>
          <cell r="H94" t="str">
            <v>Espai Urbà</v>
          </cell>
          <cell r="I94" t="str">
            <v>ECOLOGIA URBANA. URBANISME</v>
          </cell>
          <cell r="J94" t="str">
            <v>ECOLOGIA URBANA. URBANISME</v>
          </cell>
        </row>
        <row r="95">
          <cell r="A95" t="str">
            <v>SER0094</v>
          </cell>
          <cell r="B95" t="str">
            <v>Enllumenat (GENBA)</v>
          </cell>
          <cell r="C95" t="str">
            <v>BOBIS VALERIO, JUAN</v>
          </cell>
          <cell r="D95" t="str">
            <v>TORTOLA FERNANDEZ, JOSE A.</v>
          </cell>
          <cell r="E95" t="str">
            <v>CIRERA GONZALEZ, JORDI</v>
          </cell>
          <cell r="F95" t="str">
            <v>Gerència d'Hàbitat Urbà</v>
          </cell>
          <cell r="G95" t="str">
            <v>Gerència Ecologia Urbana</v>
          </cell>
          <cell r="H95" t="str">
            <v>Espai Urbà</v>
          </cell>
          <cell r="I95" t="str">
            <v>ECOLOGIA URBANA. MEDI AMBIENT I SERVEIS URBANS</v>
          </cell>
          <cell r="J95" t="str">
            <v>ECOLOGIA URBANA. MEDI AMBIENT I SERVEIS URBANS</v>
          </cell>
        </row>
        <row r="96">
          <cell r="A96" t="str">
            <v>SER0095</v>
          </cell>
          <cell r="B96" t="str">
            <v>Banderolas</v>
          </cell>
          <cell r="C96" t="str">
            <v xml:space="preserve"> -</v>
          </cell>
          <cell r="D96" t="str">
            <v>TORTOLA FERNANDEZ, JOSE A.</v>
          </cell>
          <cell r="E96" t="e">
            <v>#N/A</v>
          </cell>
          <cell r="F96" t="str">
            <v>Gerència d'Hàbitat Urbà</v>
          </cell>
          <cell r="G96" t="e">
            <v>#N/A</v>
          </cell>
          <cell r="H96" t="str">
            <v>Espai Urbà</v>
          </cell>
          <cell r="I96" t="e">
            <v>#N/A</v>
          </cell>
          <cell r="J96" t="str">
            <v>ECOLOGIA URBANA. URBANISME</v>
          </cell>
        </row>
        <row r="97">
          <cell r="A97" t="str">
            <v>SER0096</v>
          </cell>
          <cell r="B97" t="str">
            <v>Web del Subsol</v>
          </cell>
          <cell r="C97">
            <v>0</v>
          </cell>
          <cell r="D97" t="str">
            <v>TORTOLA FERNANDEZ, JOSE A.</v>
          </cell>
          <cell r="E97" t="str">
            <v>ORTUÑO RIBE, JORGE</v>
          </cell>
          <cell r="F97" t="str">
            <v>Gerència d'Hàbitat Urbà</v>
          </cell>
          <cell r="G97" t="str">
            <v>Gerència Ecologia Urbana</v>
          </cell>
          <cell r="H97" t="str">
            <v>Espai Urbà</v>
          </cell>
          <cell r="I97" t="str">
            <v>ECOLOGIA URBANA. MOBILITAT I INFRASTRUCTURES</v>
          </cell>
          <cell r="J97" t="str">
            <v>ECOLOGIA URBANA. MOBILITAT I INFRASTRUCTURES</v>
          </cell>
        </row>
        <row r="98">
          <cell r="A98" t="str">
            <v>SER0097</v>
          </cell>
          <cell r="B98" t="str">
            <v>Web Manteniment Infraestructures</v>
          </cell>
          <cell r="C98">
            <v>0</v>
          </cell>
          <cell r="D98" t="str">
            <v>TORTOLA FERNANDEZ, JOSE A.</v>
          </cell>
          <cell r="E98" t="str">
            <v>ORTUÑO RIBE, JORGE</v>
          </cell>
          <cell r="F98" t="str">
            <v>Gerència d'Hàbitat Urbà</v>
          </cell>
          <cell r="G98" t="str">
            <v>Gerència Ecologia Urbana</v>
          </cell>
          <cell r="H98" t="str">
            <v>Espai Urbà</v>
          </cell>
          <cell r="I98" t="str">
            <v>ECOLOGIA URBANA. MOBILITAT I INFRASTRUCTURES</v>
          </cell>
          <cell r="J98" t="str">
            <v>ECOLOGIA URBANA. MOBILITAT I INFRASTRUCTURES</v>
          </cell>
        </row>
        <row r="99">
          <cell r="A99" t="str">
            <v>SER0098</v>
          </cell>
          <cell r="B99" t="str">
            <v>Plans</v>
          </cell>
          <cell r="C99" t="str">
            <v>GARCIA GONZALEZ, JOSEP</v>
          </cell>
          <cell r="D99" t="str">
            <v>TORTOLA FERNANDEZ, JOSE A.</v>
          </cell>
          <cell r="E99" t="str">
            <v>GUILLEN BELLIDO, JOSÉ MIGUEL</v>
          </cell>
          <cell r="F99" t="str">
            <v>Gerència d'Hàbitat Urbà</v>
          </cell>
          <cell r="G99" t="str">
            <v>Gerència Ecologia Urbana</v>
          </cell>
          <cell r="H99" t="str">
            <v>Espai Urbà</v>
          </cell>
          <cell r="I99" t="str">
            <v>ECOLOGIA URBANA. URBANISME</v>
          </cell>
          <cell r="J99" t="str">
            <v>ECOLOGIA URBANA. URBANISME</v>
          </cell>
        </row>
        <row r="100">
          <cell r="A100" t="str">
            <v>SER0099</v>
          </cell>
          <cell r="B100" t="str">
            <v>Planejament i GIPU</v>
          </cell>
          <cell r="C100" t="str">
            <v>GARCIA GONZALEZ, JOSEP</v>
          </cell>
          <cell r="D100" t="str">
            <v>TORTOLA FERNANDEZ, JOSE A.</v>
          </cell>
          <cell r="E100" t="str">
            <v>GUILLEN BELLIDO, JOSÉ MIGUEL</v>
          </cell>
          <cell r="F100" t="str">
            <v>Gerència d'Hàbitat Urbà</v>
          </cell>
          <cell r="G100" t="str">
            <v>Gerència Ecologia Urbana</v>
          </cell>
          <cell r="H100" t="str">
            <v>Espai Urbà</v>
          </cell>
          <cell r="I100" t="str">
            <v>ECOLOGIA URBANA. URBANISME</v>
          </cell>
          <cell r="J100" t="str">
            <v>ECOLOGIA URBANA. URBANISME</v>
          </cell>
        </row>
        <row r="101">
          <cell r="A101" t="str">
            <v>SER00XX</v>
          </cell>
          <cell r="B101" t="str">
            <v>Guia d'Stil</v>
          </cell>
          <cell r="C101" t="str">
            <v>ORTIZ QUINTANA, IVAN </v>
          </cell>
          <cell r="D101" t="str">
            <v>LOPEZ BARBERO, RAFAEL</v>
          </cell>
          <cell r="E101" t="e">
            <v>#N/A</v>
          </cell>
          <cell r="F101" t="str">
            <v>IMI-TIC</v>
          </cell>
          <cell r="G101" t="e">
            <v>#N/A</v>
          </cell>
          <cell r="H101" t="str">
            <v>Enginyeria, Frameworks i Moduls comuns</v>
          </cell>
          <cell r="I101" t="e">
            <v>#N/A</v>
          </cell>
          <cell r="J101" t="str">
            <v>ENGINYERIA PROGRAMARI, FRAMEWORKS I MODULS COMUNS</v>
          </cell>
        </row>
        <row r="102">
          <cell r="A102" t="str">
            <v>SER0101</v>
          </cell>
          <cell r="B102" t="str">
            <v>Area Verda</v>
          </cell>
          <cell r="C102" t="str">
            <v xml:space="preserve"> -</v>
          </cell>
          <cell r="D102" t="str">
            <v>TORTOLA FERNANDEZ, JOSE A.</v>
          </cell>
          <cell r="E102" t="e">
            <v>#N/A</v>
          </cell>
          <cell r="F102" t="str">
            <v>Gerència de Prevenció, Seguretat i Mobilitat</v>
          </cell>
          <cell r="G102" t="e">
            <v>#N/A</v>
          </cell>
          <cell r="H102" t="str">
            <v>Espai Urbà</v>
          </cell>
          <cell r="I102" t="e">
            <v>#N/A</v>
          </cell>
          <cell r="J102" t="str">
            <v>ECOLOGIA URBANA. MOBILITAT I INFRASTRUCTURES</v>
          </cell>
        </row>
        <row r="103">
          <cell r="A103" t="str">
            <v>SER0102</v>
          </cell>
          <cell r="B103" t="str">
            <v>Dominus</v>
          </cell>
          <cell r="C103" t="str">
            <v xml:space="preserve"> -</v>
          </cell>
          <cell r="D103" t="str">
            <v>TORTOLA FERNANDEZ, JOSE A.</v>
          </cell>
          <cell r="E103" t="e">
            <v>#N/A</v>
          </cell>
          <cell r="F103" t="str">
            <v>Gerència de Recursos</v>
          </cell>
          <cell r="G103" t="e">
            <v>#N/A</v>
          </cell>
          <cell r="H103" t="str">
            <v>Espai Urbà</v>
          </cell>
          <cell r="I103" t="e">
            <v>#N/A</v>
          </cell>
          <cell r="J103" t="e">
            <v>#N/A</v>
          </cell>
        </row>
        <row r="104">
          <cell r="A104" t="str">
            <v>SER0103</v>
          </cell>
          <cell r="B104" t="str">
            <v>Avaries de la Via Pública</v>
          </cell>
          <cell r="C104">
            <v>0</v>
          </cell>
          <cell r="D104" t="str">
            <v>TORTOLA FERNANDEZ, JOSE A.</v>
          </cell>
          <cell r="E104" t="str">
            <v>ORTUÑO RIBE, JORGE</v>
          </cell>
          <cell r="F104" t="str">
            <v>Gerència d'Hàbitat Urbà</v>
          </cell>
          <cell r="G104" t="str">
            <v>Gerència Ecologia Urbana</v>
          </cell>
          <cell r="H104" t="str">
            <v>Espai Urbà</v>
          </cell>
          <cell r="I104" t="str">
            <v>ECOLOGIA URBANA. MOBILITAT I INFRASTRUCTURES</v>
          </cell>
          <cell r="J104" t="str">
            <v>ORTUÑO RIBE, JORGE</v>
          </cell>
        </row>
        <row r="105">
          <cell r="A105" t="str">
            <v>SER0104</v>
          </cell>
          <cell r="B105" t="str">
            <v>Expedients Edificació</v>
          </cell>
          <cell r="C105" t="str">
            <v>GARCIA GONZALEZ, JOSEP</v>
          </cell>
          <cell r="D105" t="str">
            <v>TORTOLA FERNANDEZ, JOSE A.</v>
          </cell>
          <cell r="E105" t="str">
            <v>GUILLEN BELLIDO, JOSÉ MIGUEL</v>
          </cell>
          <cell r="F105" t="str">
            <v>Gerència d'Hàbitat Urbà</v>
          </cell>
          <cell r="G105" t="str">
            <v>Gerència Ecologia Urbana</v>
          </cell>
          <cell r="H105" t="str">
            <v>Espai Urbà</v>
          </cell>
          <cell r="I105" t="str">
            <v>ECOLOGIA URBANA. URBANISME</v>
          </cell>
          <cell r="J105" t="str">
            <v>GUILLEN BELLIDO, JOSÉ MIGUEL</v>
          </cell>
        </row>
        <row r="106">
          <cell r="A106" t="str">
            <v>SER0105</v>
          </cell>
          <cell r="B106" t="str">
            <v>Firma electrònica</v>
          </cell>
          <cell r="C106" t="str">
            <v>ORTIZ QUINTANA, IVAN</v>
          </cell>
          <cell r="D106" t="str">
            <v>GOMEZ, JOAN MANEL</v>
          </cell>
          <cell r="E106" t="str">
            <v>LOPEZ BARBERO, RAFAEL</v>
          </cell>
          <cell r="F106" t="str">
            <v>Gerència de Recursos</v>
          </cell>
          <cell r="G106" t="str">
            <v>IMI-TIC</v>
          </cell>
          <cell r="H106" t="str">
            <v>Seguretat</v>
          </cell>
          <cell r="I106" t="str">
            <v>ENGINYERIA PROGRAMARI, FRAMEWORKS I MODULS COMUNS</v>
          </cell>
          <cell r="J106" t="str">
            <v>LOPEZ BARBERO, RAFAEL</v>
          </cell>
        </row>
        <row r="107">
          <cell r="A107" t="str">
            <v>SER0106</v>
          </cell>
          <cell r="B107" t="str">
            <v>Cercador Internet</v>
          </cell>
          <cell r="C107" t="str">
            <v>BITLLOCH PUIGVERT, JOAN R</v>
          </cell>
          <cell r="E107" t="str">
            <v>MARCILLAS RIERA, SILVIA</v>
          </cell>
          <cell r="F107" t="str">
            <v>Gerència Municipal</v>
          </cell>
          <cell r="G107" t="str">
            <v>Gerència de Recursos</v>
          </cell>
          <cell r="H107" t="str">
            <v>7.- Serveis de solucions verticals</v>
          </cell>
          <cell r="I107" t="str">
            <v>DRETS CIUTADANIA, PARTICIPACIÓ I TRANSPARÈNCIA</v>
          </cell>
          <cell r="J107" t="str">
            <v>7.- Serveis de solucions verticals</v>
          </cell>
        </row>
        <row r="108">
          <cell r="A108" t="str">
            <v>SER0107</v>
          </cell>
          <cell r="B108" t="str">
            <v>Serveis d’infraestructures físiques</v>
          </cell>
          <cell r="C108" t="str">
            <v>Fiter de Paz, Albert</v>
          </cell>
          <cell r="D108" t="str">
            <v>Fiter , Albert</v>
          </cell>
          <cell r="E108" t="str">
            <v>NIN BLASCO, FRANCISCO</v>
          </cell>
          <cell r="F108" t="str">
            <v>Gerència Municipal</v>
          </cell>
          <cell r="G108" t="str">
            <v>Gerència Municipal</v>
          </cell>
          <cell r="H108" t="str">
            <v>1. Serveis d’infraestructures físiques</v>
          </cell>
          <cell r="I108" t="str">
            <v>INFRAESTRUCTURES</v>
          </cell>
          <cell r="J108" t="str">
            <v>1. Serveis d’infraestructures físiques</v>
          </cell>
        </row>
        <row r="109">
          <cell r="A109" t="str">
            <v>SER0108</v>
          </cell>
          <cell r="B109" t="str">
            <v>servei Host</v>
          </cell>
          <cell r="C109" t="str">
            <v>CASAUS BARREDA, FRANCESC</v>
          </cell>
          <cell r="E109" t="str">
            <v>SOLER ORTIZ, RUBEN</v>
          </cell>
          <cell r="F109" t="str">
            <v>Gerència Municipal</v>
          </cell>
          <cell r="G109" t="str">
            <v>Gerència Municipal</v>
          </cell>
          <cell r="H109" t="str">
            <v>2.- Serveis de maquinari i sistemes operatius</v>
          </cell>
          <cell r="I109" t="str">
            <v>CPD</v>
          </cell>
          <cell r="J109" t="str">
            <v>2.- Serveis de maquinari i sistemes operatius</v>
          </cell>
        </row>
        <row r="110">
          <cell r="A110" t="str">
            <v>SER0109</v>
          </cell>
          <cell r="B110" t="str">
            <v>Virtualització</v>
          </cell>
          <cell r="C110" t="str">
            <v>FABA BAYO, OSCAR</v>
          </cell>
          <cell r="E110" t="str">
            <v>FELEZ ZAERA, ENRIQUE</v>
          </cell>
          <cell r="F110" t="str">
            <v>Gerència Municipal</v>
          </cell>
          <cell r="G110" t="str">
            <v>Gerència Municipal</v>
          </cell>
          <cell r="H110" t="str">
            <v>2.- Serveis de maquinari i sistemes operatius</v>
          </cell>
          <cell r="I110" t="str">
            <v>ENGINYERIA DE SISTEMES</v>
          </cell>
          <cell r="J110" t="str">
            <v>2.- Serveis de maquinari i sistemes operatius</v>
          </cell>
        </row>
        <row r="111">
          <cell r="A111" t="str">
            <v>SER0110</v>
          </cell>
          <cell r="B111" t="str">
            <v>Sistemes Operatius</v>
          </cell>
          <cell r="C111" t="str">
            <v>FABA BAYO, OSCAR</v>
          </cell>
          <cell r="E111" t="str">
            <v>FELEZ ZAERA, ENRIQUE</v>
          </cell>
          <cell r="F111" t="str">
            <v>Gerència Municipal</v>
          </cell>
          <cell r="G111" t="str">
            <v>Gerència Municipal</v>
          </cell>
          <cell r="H111" t="str">
            <v>2.- Serveis de maquinari i sistemes operatius</v>
          </cell>
          <cell r="I111" t="str">
            <v>ENGINYERIA DE SISTEMES</v>
          </cell>
          <cell r="J111" t="str">
            <v>2.- Serveis de maquinari i sistemes operatius</v>
          </cell>
        </row>
        <row r="112">
          <cell r="A112" t="str">
            <v>SER0111</v>
          </cell>
          <cell r="B112" t="str">
            <v>Hosting (provisió d’infraestructura en mode servei)</v>
          </cell>
          <cell r="C112" t="str">
            <v>CASAUS BARREDA, FRANCESC</v>
          </cell>
          <cell r="E112">
            <v>0</v>
          </cell>
          <cell r="F112" t="str">
            <v>Gerència Municipal</v>
          </cell>
          <cell r="G112" t="str">
            <v>Gerència Municipal</v>
          </cell>
          <cell r="H112" t="str">
            <v>2.- Serveis de maquinari i sistemes operatius</v>
          </cell>
          <cell r="I112">
            <v>0</v>
          </cell>
          <cell r="J112" t="str">
            <v>2.- Serveis de maquinari i sistemes operatius</v>
          </cell>
        </row>
        <row r="113">
          <cell r="A113" t="str">
            <v>SER0112</v>
          </cell>
          <cell r="B113" t="str">
            <v>Housing (allotjament d’infraestructures)</v>
          </cell>
          <cell r="C113" t="str">
            <v>NIN BLASCO, FRANCISCO</v>
          </cell>
          <cell r="E113" t="str">
            <v>NIN BLASCO, FRANCISCO</v>
          </cell>
          <cell r="F113" t="str">
            <v>Gerència Municipal</v>
          </cell>
          <cell r="G113" t="str">
            <v>Gerència Municipal</v>
          </cell>
          <cell r="H113" t="str">
            <v>2.- Serveis de maquinari i sistemes operatius</v>
          </cell>
          <cell r="I113" t="str">
            <v>INFRAESTRUCTURES</v>
          </cell>
          <cell r="J113" t="str">
            <v>2.- Serveis de maquinari i sistemes operatius</v>
          </cell>
        </row>
        <row r="114">
          <cell r="A114" t="str">
            <v>SER0113</v>
          </cell>
          <cell r="B114" t="str">
            <v>Seguretat dels sistemes i perimetral</v>
          </cell>
          <cell r="C114" t="str">
            <v>LOPEZ VAZQUEZ, GEMMA</v>
          </cell>
          <cell r="E114" t="str">
            <v>AZNAR IGLESIAS, JUAN ANTON</v>
          </cell>
          <cell r="F114" t="str">
            <v>Gerència Municipal</v>
          </cell>
          <cell r="G114" t="str">
            <v>Gerència Municipal</v>
          </cell>
          <cell r="H114" t="str">
            <v>2.- Serveis de maquinari i sistemes operatius</v>
          </cell>
          <cell r="I114" t="str">
            <v>LLOC DE TREBALL</v>
          </cell>
          <cell r="J114" t="str">
            <v>2.- Serveis de maquinari i sistemes operatius</v>
          </cell>
        </row>
        <row r="115">
          <cell r="A115" t="str">
            <v>SER0114</v>
          </cell>
          <cell r="B115" t="str">
            <v>Connectivitat IP corporativa</v>
          </cell>
          <cell r="C115" t="str">
            <v>MENDOZA FLORES, MANEL</v>
          </cell>
          <cell r="E115">
            <v>0</v>
          </cell>
          <cell r="F115" t="str">
            <v>Gerència Municipal</v>
          </cell>
          <cell r="G115" t="str">
            <v>Gerència Municipal</v>
          </cell>
          <cell r="H115" t="str">
            <v>3.- Serveis de enllaç de dades i xarxa</v>
          </cell>
          <cell r="I115" t="str">
            <v>LLOC DE TREBALL</v>
          </cell>
          <cell r="J115" t="str">
            <v>3.- Serveis de enllaç de dades i xarxa</v>
          </cell>
        </row>
        <row r="116">
          <cell r="A116" t="str">
            <v>SER0115</v>
          </cell>
          <cell r="B116" t="str">
            <v>Wifi indoor</v>
          </cell>
          <cell r="C116" t="str">
            <v>MENDOZA FLORES, MANEL</v>
          </cell>
          <cell r="E116">
            <v>0</v>
          </cell>
          <cell r="F116" t="str">
            <v>Gerència Municipal</v>
          </cell>
          <cell r="G116" t="str">
            <v>Gerència Municipal</v>
          </cell>
          <cell r="H116" t="str">
            <v>3.- Serveis de enllaç de dades i xarxa</v>
          </cell>
          <cell r="I116" t="str">
            <v>LLOC DE TREBALL</v>
          </cell>
          <cell r="J116" t="str">
            <v>3.- Serveis de enllaç de dades i xarxa</v>
          </cell>
        </row>
        <row r="117">
          <cell r="A117" t="str">
            <v>SER0116</v>
          </cell>
          <cell r="B117" t="str">
            <v>Telefonia Fixa – Telefonia Mòbil</v>
          </cell>
          <cell r="C117" t="str">
            <v>NIN BLASCO, FRANCISCO</v>
          </cell>
          <cell r="D117" t="str">
            <v>PEJOAN JIMENEZ, MARC</v>
          </cell>
          <cell r="E117">
            <v>0</v>
          </cell>
          <cell r="F117" t="str">
            <v>Gerència Municipal</v>
          </cell>
          <cell r="G117" t="str">
            <v>Gerència Municipal</v>
          </cell>
          <cell r="H117" t="str">
            <v>3.- Serveis de enllaç de dades i xarxa</v>
          </cell>
          <cell r="I117" t="str">
            <v>LLOC DE TREBALL</v>
          </cell>
          <cell r="J117" t="str">
            <v>3.- Serveis de enllaç de dades i xarxa</v>
          </cell>
        </row>
        <row r="118">
          <cell r="A118" t="str">
            <v>SER0118</v>
          </cell>
          <cell r="B118" t="str">
            <v>Emmagatzemament</v>
          </cell>
          <cell r="C118" t="str">
            <v>LOMBART BADAL, FEDERICO</v>
          </cell>
          <cell r="E118" t="str">
            <v>SOLER ORTIZ, RUBEN</v>
          </cell>
          <cell r="F118" t="str">
            <v>Gerència Municipal</v>
          </cell>
          <cell r="G118" t="str">
            <v>Gerència Municipal</v>
          </cell>
          <cell r="H118" t="str">
            <v>4.- Serveis de programari de base</v>
          </cell>
          <cell r="I118" t="str">
            <v>CPD</v>
          </cell>
          <cell r="J118" t="str">
            <v>4.- Serveis de programari de base</v>
          </cell>
        </row>
        <row r="119">
          <cell r="A119" t="str">
            <v>SER0119</v>
          </cell>
          <cell r="B119" t="str">
            <v>Salvaguarda i recuperació de dades</v>
          </cell>
          <cell r="C119" t="str">
            <v>RIVERO GAYO, FELIP</v>
          </cell>
          <cell r="D119" t="str">
            <v>RIVERO GAYO, FELIP</v>
          </cell>
          <cell r="E119" t="str">
            <v>DUQUE HERNANDEZ, CARMEN</v>
          </cell>
          <cell r="F119" t="str">
            <v>Gerència Municipal</v>
          </cell>
          <cell r="G119" t="str">
            <v>Gerència Municipal</v>
          </cell>
          <cell r="H119" t="str">
            <v>4.- Serveis de programari de base</v>
          </cell>
          <cell r="I119" t="str">
            <v>EXPLOTACIÓ</v>
          </cell>
          <cell r="J119" t="str">
            <v>4.- Serveis de programari de base</v>
          </cell>
        </row>
        <row r="120">
          <cell r="A120" t="str">
            <v>SER0120</v>
          </cell>
          <cell r="B120" t="str">
            <v>Proves de càrrega (stress test)</v>
          </cell>
          <cell r="C120" t="str">
            <v>JEREZ MARTINEZ, JOSEFINA</v>
          </cell>
          <cell r="D120" t="str">
            <v>FERNANDEZ MAS, JOSEP</v>
          </cell>
          <cell r="E120" t="str">
            <v>JEREZ MARTINEZ, JOSEFINA</v>
          </cell>
          <cell r="F120" t="str">
            <v>Gerència Municipal</v>
          </cell>
          <cell r="G120" t="str">
            <v>Gerència Municipal</v>
          </cell>
          <cell r="H120" t="str">
            <v>4.- Serveis de programari de base</v>
          </cell>
          <cell r="I120" t="str">
            <v>COORDINACIÓ</v>
          </cell>
          <cell r="J120" t="str">
            <v>4.- Serveis de programari de base</v>
          </cell>
        </row>
        <row r="121">
          <cell r="A121" t="str">
            <v>SER0121</v>
          </cell>
          <cell r="B121" t="str">
            <v>Servei de directori</v>
          </cell>
          <cell r="C121" t="str">
            <v>LOPEZ VAZQUEZ, GEMMA</v>
          </cell>
          <cell r="E121" t="str">
            <v>BELLAVISTA ARIMANY, NEUS</v>
          </cell>
          <cell r="F121" t="str">
            <v>Gerència Municipal</v>
          </cell>
          <cell r="G121" t="str">
            <v>Gerència Municipal</v>
          </cell>
          <cell r="H121" t="str">
            <v>4.- Serveis de programari de base</v>
          </cell>
          <cell r="I121" t="str">
            <v>SEGURETAT TIC, RISC I COMPLIMENT</v>
          </cell>
          <cell r="J121" t="str">
            <v>4.- Serveis de programari de base</v>
          </cell>
        </row>
        <row r="122">
          <cell r="A122" t="str">
            <v>SER0122</v>
          </cell>
          <cell r="B122" t="str">
            <v>Monitorització</v>
          </cell>
          <cell r="C122" t="str">
            <v>DUQUE HERNANDEZ, CARMEN</v>
          </cell>
          <cell r="E122" t="str">
            <v>DUQUE HERNANDEZ, CARMEN</v>
          </cell>
          <cell r="F122" t="str">
            <v>Gerència Municipal</v>
          </cell>
          <cell r="G122" t="str">
            <v>Gerència Municipal</v>
          </cell>
          <cell r="H122" t="str">
            <v>4.- Serveis de programari de base</v>
          </cell>
          <cell r="I122" t="str">
            <v>EXPLOTACIÓ</v>
          </cell>
          <cell r="J122" t="str">
            <v>4.- Serveis de programari de base</v>
          </cell>
        </row>
        <row r="123">
          <cell r="A123" t="str">
            <v>SER0123</v>
          </cell>
          <cell r="B123" t="str">
            <v>Execució i monitoratge de tasques planificades (UC4, Planificador SAP, Batch)</v>
          </cell>
          <cell r="C123" t="str">
            <v>ROMERO ESTEBAN, ANGEL</v>
          </cell>
          <cell r="D123" t="str">
            <v>Romero Esteban, Angel</v>
          </cell>
          <cell r="E123" t="str">
            <v>DUQUE HERNANDEZ, CARMEN</v>
          </cell>
          <cell r="F123" t="str">
            <v>Gerència Municipal</v>
          </cell>
          <cell r="G123" t="str">
            <v>Gerència Municipal</v>
          </cell>
          <cell r="H123" t="str">
            <v>4.- Serveis de programari de base</v>
          </cell>
          <cell r="I123" t="str">
            <v>EXPLOTACIÓ</v>
          </cell>
          <cell r="J123" t="str">
            <v>4.- Serveis de programari de base</v>
          </cell>
        </row>
        <row r="124">
          <cell r="A124" t="str">
            <v>SER0124</v>
          </cell>
          <cell r="B124" t="str">
            <v>Missatgeria electrònica</v>
          </cell>
          <cell r="C124" t="str">
            <v>AGULLO LEON, JACINTO</v>
          </cell>
          <cell r="E124" t="str">
            <v>AZNAR IGLESIAS, JUAN ANTON</v>
          </cell>
          <cell r="F124" t="str">
            <v>Gerència Municipal</v>
          </cell>
          <cell r="G124" t="str">
            <v>Gerència Municipal</v>
          </cell>
          <cell r="H124" t="str">
            <v>5.- Serveis de gestió de dades</v>
          </cell>
          <cell r="I124" t="str">
            <v>LLOC DE TREBALL</v>
          </cell>
          <cell r="J124" t="str">
            <v>5.- Serveis de gestió de dades</v>
          </cell>
        </row>
        <row r="125">
          <cell r="A125" t="str">
            <v>SER0125</v>
          </cell>
          <cell r="B125" t="str">
            <v>Sistemes d’impressió massiva</v>
          </cell>
          <cell r="C125" t="str">
            <v>RIVERO GAYO, FELIP</v>
          </cell>
          <cell r="D125" t="str">
            <v>DUQUE HERNANDEZ, CARMEN</v>
          </cell>
          <cell r="E125" t="str">
            <v>DUQUE HERNANDEZ, CARMEN</v>
          </cell>
          <cell r="F125" t="str">
            <v>Gerència Municipal</v>
          </cell>
          <cell r="G125" t="str">
            <v>Gerència Municipal</v>
          </cell>
          <cell r="H125" t="str">
            <v>5.- Serveis de gestió de dades</v>
          </cell>
          <cell r="I125" t="str">
            <v>EXPLOTACIÓ</v>
          </cell>
          <cell r="J125" t="str">
            <v>5.- Serveis de gestió de dades</v>
          </cell>
        </row>
        <row r="126">
          <cell r="A126" t="str">
            <v>SER0126</v>
          </cell>
          <cell r="B126" t="str">
            <v>Gestió d’expedients</v>
          </cell>
          <cell r="C126" t="str">
            <v>NOUVILAS ROMERO, JOSE M.</v>
          </cell>
          <cell r="D126" t="str">
            <v>SOLER ORTIZ, RUBEN</v>
          </cell>
          <cell r="E126" t="str">
            <v>SOLER ORTIZ, RUBEN</v>
          </cell>
          <cell r="F126" t="str">
            <v>Gerència de Recursos</v>
          </cell>
          <cell r="G126" t="str">
            <v>Gerència Recursos</v>
          </cell>
          <cell r="H126" t="str">
            <v>5.- Serveis de gestió de dades</v>
          </cell>
          <cell r="I126" t="str">
            <v>CPD</v>
          </cell>
          <cell r="J126" t="str">
            <v>5.- Serveis de gestió de dades</v>
          </cell>
        </row>
        <row r="127">
          <cell r="A127" t="str">
            <v>SER0127</v>
          </cell>
          <cell r="B127" t="str">
            <v>Bases de dades</v>
          </cell>
          <cell r="C127" t="str">
            <v>LOMBART BADAL, FEDERICO</v>
          </cell>
          <cell r="E127" t="str">
            <v>SOLER ORTIZ, RUBEN</v>
          </cell>
          <cell r="F127" t="str">
            <v>Gerència Municipal</v>
          </cell>
          <cell r="G127" t="str">
            <v>Gerència Municipal</v>
          </cell>
          <cell r="H127" t="str">
            <v>5.- Serveis de gestió de dades</v>
          </cell>
          <cell r="I127" t="str">
            <v>CPD</v>
          </cell>
          <cell r="J127" t="str">
            <v>5.- Serveis de gestió de dades</v>
          </cell>
        </row>
        <row r="128">
          <cell r="A128" t="str">
            <v>SER0128</v>
          </cell>
          <cell r="B128" t="str">
            <v>Seguretat de les dades</v>
          </cell>
          <cell r="C128">
            <v>0</v>
          </cell>
          <cell r="E128" t="str">
            <v>BELLAVISTA ARIMANY, NEUS</v>
          </cell>
          <cell r="F128" t="str">
            <v>Gerència Municipal</v>
          </cell>
          <cell r="G128" t="str">
            <v>Gerència Municipal</v>
          </cell>
          <cell r="H128" t="str">
            <v>5.- Serveis de gestió de dades</v>
          </cell>
          <cell r="I128" t="str">
            <v>SEGURETAT TIC, RISC I COMPLIMENT</v>
          </cell>
          <cell r="J128" t="str">
            <v>5.- Serveis de gestió de dades</v>
          </cell>
        </row>
        <row r="129">
          <cell r="A129" t="str">
            <v>SER0129</v>
          </cell>
          <cell r="B129" t="str">
            <v>Lloc de treball</v>
          </cell>
          <cell r="C129" t="str">
            <v>AZNAR IGLESIAS, JUAN ANTON</v>
          </cell>
          <cell r="E129" t="str">
            <v>AZNAR IGLESIAS, JUAN ANTON</v>
          </cell>
          <cell r="F129" t="str">
            <v>Gerència Municipal</v>
          </cell>
          <cell r="G129" t="str">
            <v>Gerència Municipal</v>
          </cell>
          <cell r="H129" t="str">
            <v>6.- Serveis de presentació</v>
          </cell>
          <cell r="I129" t="str">
            <v>LLOC DE TREBALL</v>
          </cell>
          <cell r="J129" t="str">
            <v>6.- Serveis de presentació</v>
          </cell>
        </row>
        <row r="130">
          <cell r="A130" t="str">
            <v>SER0131</v>
          </cell>
          <cell r="B130" t="str">
            <v>Serveis per desenvolupament .NET</v>
          </cell>
          <cell r="C130" t="str">
            <v xml:space="preserve"> -</v>
          </cell>
          <cell r="E130" t="e">
            <v>#N/A</v>
          </cell>
          <cell r="F130" t="str">
            <v>Gerència Municipal</v>
          </cell>
          <cell r="G130" t="e">
            <v>#N/A</v>
          </cell>
          <cell r="H130" t="str">
            <v>7.- Serveis de solucions verticals</v>
          </cell>
          <cell r="I130" t="e">
            <v>#N/A</v>
          </cell>
          <cell r="J130" t="str">
            <v>7.- Serveis de solucions verticals</v>
          </cell>
        </row>
        <row r="131">
          <cell r="A131" t="str">
            <v>SER0132</v>
          </cell>
          <cell r="B131" t="str">
            <v>Consultoria de processos</v>
          </cell>
          <cell r="C131" t="str">
            <v>ECHEVARRIA MESEGUER, CARLOS</v>
          </cell>
          <cell r="E131">
            <v>0</v>
          </cell>
          <cell r="F131" t="str">
            <v>Gerència Municipal</v>
          </cell>
          <cell r="G131" t="str">
            <v>Gerència Municipal</v>
          </cell>
          <cell r="H131" t="str">
            <v>7.- Serveis de solucions verticals</v>
          </cell>
          <cell r="I131">
            <v>0</v>
          </cell>
          <cell r="J131" t="str">
            <v>7.- Serveis de solucions verticals</v>
          </cell>
        </row>
        <row r="132">
          <cell r="A132" t="str">
            <v>SER0133</v>
          </cell>
          <cell r="B132" t="str">
            <v>Framework i Serveis Comuns J2EE</v>
          </cell>
          <cell r="C132" t="str">
            <v>ORTIZ QUINTANA, IVAN</v>
          </cell>
          <cell r="D132" t="str">
            <v>LOPEZ BARBERO, RAFAEL</v>
          </cell>
          <cell r="E132" t="str">
            <v>LOPEZ BARBERO, RAFAEL</v>
          </cell>
          <cell r="F132" t="str">
            <v>Gerència Municipal</v>
          </cell>
          <cell r="G132" t="str">
            <v>IMI-TIC</v>
          </cell>
          <cell r="H132" t="str">
            <v>Enginyeria, Frameworks i Moduls comuns</v>
          </cell>
          <cell r="I132" t="str">
            <v>ENGINYERIA PROGRAMARI, FRAMEWORKS I MODULS COMUNS</v>
          </cell>
          <cell r="J132" t="str">
            <v>Enginyeria, Frameworks i Moduls comuns</v>
          </cell>
        </row>
        <row r="133">
          <cell r="A133" t="str">
            <v>SER0134</v>
          </cell>
          <cell r="B133" t="str">
            <v>Col·laboració</v>
          </cell>
          <cell r="C133" t="str">
            <v>AGULLO LEON, JACINTO</v>
          </cell>
          <cell r="E133" t="str">
            <v>AZNAR IGLESIAS, JUAN ANTON</v>
          </cell>
          <cell r="F133" t="str">
            <v>Gerència Municipal</v>
          </cell>
          <cell r="G133" t="str">
            <v>Gerència Municipal</v>
          </cell>
          <cell r="H133" t="str">
            <v>7.- Serveis de solucions verticals</v>
          </cell>
          <cell r="I133" t="str">
            <v>LLOC DE TREBALL</v>
          </cell>
          <cell r="J133" t="str">
            <v>7.- Serveis de solucions verticals</v>
          </cell>
        </row>
        <row r="134">
          <cell r="A134" t="str">
            <v>SER0135</v>
          </cell>
          <cell r="B134" t="str">
            <v>CRM Infraestructura</v>
          </cell>
          <cell r="C134" t="str">
            <v>AGULLO LEON, JACINTO</v>
          </cell>
          <cell r="E134" t="str">
            <v>AZNAR IGLESIAS, JUAN ANTON</v>
          </cell>
          <cell r="F134" t="str">
            <v>Gerència de Recursos</v>
          </cell>
          <cell r="G134" t="str">
            <v>Gerència de Drets de Ciutadania, Participació i Transpàrencia</v>
          </cell>
          <cell r="H134" t="str">
            <v>7.- Serveis de solucions verticals</v>
          </cell>
          <cell r="I134" t="str">
            <v>LLOC DE TREBALL</v>
          </cell>
          <cell r="J134" t="str">
            <v>7.- Serveis de solucions verticals</v>
          </cell>
        </row>
        <row r="135">
          <cell r="A135" t="str">
            <v>SER0136</v>
          </cell>
          <cell r="B135" t="str">
            <v>SAP</v>
          </cell>
          <cell r="C135" t="str">
            <v>Llanes Castilla, Juan Carlos</v>
          </cell>
          <cell r="D135" t="str">
            <v>FERNANDEZ MAS, JOSEP</v>
          </cell>
          <cell r="E135" t="str">
            <v>SOLER ORTIZ, RUBEN</v>
          </cell>
          <cell r="F135" t="str">
            <v>Gerència Municipal</v>
          </cell>
          <cell r="G135" t="str">
            <v>Gerència Municipal</v>
          </cell>
          <cell r="H135" t="str">
            <v>7.- Serveis de solucions verticals</v>
          </cell>
          <cell r="I135" t="str">
            <v>CPD</v>
          </cell>
          <cell r="J135" t="str">
            <v>7.- Serveis de solucions verticals</v>
          </cell>
        </row>
        <row r="136">
          <cell r="A136" t="str">
            <v>SER0137</v>
          </cell>
          <cell r="B136" t="str">
            <v>Plataforma de Gestió de Continguts</v>
          </cell>
          <cell r="C136" t="str">
            <v>AGULLO LEON, JACINTO</v>
          </cell>
          <cell r="E136" t="e">
            <v>#N/A</v>
          </cell>
          <cell r="F136" t="str">
            <v>Gerència Municipal</v>
          </cell>
          <cell r="G136" t="e">
            <v>#N/A</v>
          </cell>
          <cell r="H136" t="str">
            <v>7.- Serveis de solucions verticals</v>
          </cell>
          <cell r="I136" t="e">
            <v>#N/A</v>
          </cell>
          <cell r="J136" t="str">
            <v>7.- Serveis de solucions verticals</v>
          </cell>
        </row>
        <row r="137">
          <cell r="A137" t="str">
            <v>SER0138</v>
          </cell>
          <cell r="B137" t="str">
            <v>Serveis Lingüístics</v>
          </cell>
          <cell r="C137" t="str">
            <v>AGULLO LEON, JACINTO</v>
          </cell>
          <cell r="E137" t="str">
            <v>AZNAR IGLESIAS, JUAN ANTON</v>
          </cell>
          <cell r="F137" t="str">
            <v>Gerència Municipal</v>
          </cell>
          <cell r="G137" t="str">
            <v>Gerència Municipal</v>
          </cell>
          <cell r="H137" t="str">
            <v>7.- Serveis de solucions verticals</v>
          </cell>
          <cell r="I137" t="str">
            <v>LLOC DE TREBALL</v>
          </cell>
          <cell r="J137" t="str">
            <v>7.- Serveis de solucions verticals</v>
          </cell>
        </row>
        <row r="138">
          <cell r="A138" t="str">
            <v>SER0139</v>
          </cell>
          <cell r="B138" t="str">
            <v>Gestió documental (Frameworks, Documentum)</v>
          </cell>
          <cell r="C138" t="str">
            <v>LOPEZ BARBERO, RAFAEL</v>
          </cell>
          <cell r="D138" t="str">
            <v>LOPEZ BARBERO, RAFAEL</v>
          </cell>
          <cell r="E138" t="str">
            <v>LOPEZ BARBERO, RAFAEL</v>
          </cell>
          <cell r="F138" t="str">
            <v>Gerència de Recursos</v>
          </cell>
          <cell r="G138" t="str">
            <v>IMI-TIC</v>
          </cell>
          <cell r="H138" t="str">
            <v>Enginyeria, Frameworks i Moduls comuns</v>
          </cell>
          <cell r="I138" t="str">
            <v>ENGINYERIA PROGRAMARI, FRAMEWORKS I MODULS COMUNS</v>
          </cell>
          <cell r="J138" t="str">
            <v>ENGINYERIA PROGRAMARI, FRAMEWORKS I MODULS COMUNS</v>
          </cell>
        </row>
        <row r="139">
          <cell r="A139" t="str">
            <v>SER0140</v>
          </cell>
          <cell r="B139" t="str">
            <v>Autenticació i Autorització corporativa</v>
          </cell>
          <cell r="C139" t="str">
            <v>FERNANDEZ MARTINEZ, ANDRES</v>
          </cell>
          <cell r="D139" t="str">
            <v>LOPEZ BARBERO, RAFAEL</v>
          </cell>
          <cell r="E139" t="str">
            <v>LOPEZ BARBERO, RAFAEL</v>
          </cell>
          <cell r="F139" t="str">
            <v>Gerència de Recursos</v>
          </cell>
          <cell r="G139" t="str">
            <v>IMI-TIC</v>
          </cell>
          <cell r="H139" t="str">
            <v>Enginyeria, Frameworks i Moduls comuns</v>
          </cell>
          <cell r="I139" t="str">
            <v>ENGINYERIA PROGRAMARI, FRAMEWORKS I MODULS COMUNS</v>
          </cell>
          <cell r="J139" t="str">
            <v>ENGINYERIA PROGRAMARI, FRAMEWORKS I MODULS COMUNS</v>
          </cell>
        </row>
        <row r="140">
          <cell r="A140" t="str">
            <v>SER0141</v>
          </cell>
          <cell r="B140" t="str">
            <v>Entorns Desenvolupament Aplicacions</v>
          </cell>
          <cell r="C140" t="str">
            <v>ORTIZ QUINTANA, IVAN</v>
          </cell>
          <cell r="D140" t="str">
            <v>LOPEZ BARBERO, RAFAEL</v>
          </cell>
          <cell r="E140" t="str">
            <v>LOPEZ BARBERO, RAFAEL</v>
          </cell>
          <cell r="F140" t="str">
            <v>IMI-TIC</v>
          </cell>
          <cell r="G140" t="str">
            <v>IMI-TIC</v>
          </cell>
          <cell r="H140" t="str">
            <v>Enginyeria, Frameworks i Moduls comuns</v>
          </cell>
          <cell r="I140" t="str">
            <v>ENGINYERIA PROGRAMARI, FRAMEWORKS I MODULS COMUNS</v>
          </cell>
          <cell r="J140" t="str">
            <v>ENGINYERIA PROGRAMARI, FRAMEWORKS I MODULS COMUNS</v>
          </cell>
        </row>
        <row r="141">
          <cell r="A141" t="str">
            <v>SER0142</v>
          </cell>
          <cell r="B141" t="str">
            <v>Eines de Gestió d'Entregues i Desplegaments</v>
          </cell>
          <cell r="C141" t="str">
            <v>FRANCES JULIAN, M. ALICIA</v>
          </cell>
          <cell r="D141" t="str">
            <v>LOPEZ BARBERO, RAFAEL</v>
          </cell>
          <cell r="E141" t="str">
            <v>LAGE HUERTAS, JOSE</v>
          </cell>
          <cell r="F141" t="str">
            <v>IMI-TIC</v>
          </cell>
          <cell r="G141" t="str">
            <v>IMI-TIC</v>
          </cell>
          <cell r="H141" t="str">
            <v>Enginyeria, Frameworks i Moduls comuns</v>
          </cell>
          <cell r="I141" t="str">
            <v>SMO - Gestió de Serveis</v>
          </cell>
          <cell r="J141" t="str">
            <v>ENGINYERIA PROGRAMARI, FRAMEWORKS I MODULS COMUNS</v>
          </cell>
        </row>
        <row r="142">
          <cell r="A142" t="str">
            <v>SER0143</v>
          </cell>
          <cell r="B142" t="str">
            <v>Codificador i Geocodificadors</v>
          </cell>
          <cell r="C142" t="str">
            <v>PUIG PONS, XAVIER</v>
          </cell>
          <cell r="D142" t="str">
            <v>LOPEZ BARBERO, RAFAEL</v>
          </cell>
          <cell r="E142" t="str">
            <v>LOPEZ BARBERO, RAFAEL</v>
          </cell>
          <cell r="F142" t="str">
            <v>IMI-IDB</v>
          </cell>
          <cell r="G142" t="str">
            <v>IMI-IDB</v>
          </cell>
          <cell r="H142" t="str">
            <v>Enginyeria, Frameworks i Moduls comuns</v>
          </cell>
          <cell r="I142" t="str">
            <v>ENGINYERIA PROGRAMARI, FRAMEWORKS I MODULS COMUNS</v>
          </cell>
          <cell r="J142" t="str">
            <v>ENGINYERIA PROGRAMARI, FRAMEWORKS I MODULS COMUNS</v>
          </cell>
        </row>
        <row r="143">
          <cell r="A143" t="str">
            <v>SER0144</v>
          </cell>
          <cell r="B143" t="str">
            <v>Estadístiques</v>
          </cell>
          <cell r="C143" t="str">
            <v>AGULLO LEON, JACINTO</v>
          </cell>
          <cell r="E143" t="e">
            <v>#N/A</v>
          </cell>
          <cell r="F143" t="str">
            <v>Gerència de Recursos</v>
          </cell>
          <cell r="G143" t="e">
            <v>#N/A</v>
          </cell>
          <cell r="H143" t="str">
            <v>7.- Serveis de solucions verticals</v>
          </cell>
          <cell r="I143" t="e">
            <v>#N/A</v>
          </cell>
          <cell r="J143" t="str">
            <v>7.- Serveis de solucions verticals</v>
          </cell>
        </row>
        <row r="144">
          <cell r="A144" t="str">
            <v>SER0145</v>
          </cell>
          <cell r="B144" t="str">
            <v>Vídeo</v>
          </cell>
          <cell r="C144" t="str">
            <v>NUÑEZ GONZALEZ, J. MANUEL</v>
          </cell>
          <cell r="E144" t="str">
            <v>FELEZ ZAERA, ENRIQUE</v>
          </cell>
          <cell r="F144" t="str">
            <v>Gerència Municipal</v>
          </cell>
          <cell r="G144" t="str">
            <v>Gerència Municipal</v>
          </cell>
          <cell r="H144" t="str">
            <v>7.- Serveis de solucions verticals</v>
          </cell>
          <cell r="I144" t="str">
            <v>ENGINYERIA DE SISTEMES</v>
          </cell>
          <cell r="J144" t="str">
            <v>7.- Serveis de solucions verticals</v>
          </cell>
        </row>
        <row r="145">
          <cell r="A145" t="str">
            <v>SER0146</v>
          </cell>
          <cell r="B145" t="str">
            <v>Serveis Web</v>
          </cell>
          <cell r="C145" t="str">
            <v>NUÑEZ GONZALEZ, J. MANUEL</v>
          </cell>
          <cell r="E145" t="str">
            <v>BELLAVISTA ARIMANY, NEUS</v>
          </cell>
          <cell r="F145" t="str">
            <v>Gerència Municipal</v>
          </cell>
          <cell r="G145" t="str">
            <v>Gerència Municipal</v>
          </cell>
          <cell r="H145" t="str">
            <v>7.- Serveis de solucions verticals</v>
          </cell>
          <cell r="I145" t="str">
            <v>SEGURETAT TIC, RISC I COMPLIMENT</v>
          </cell>
          <cell r="J145" t="str">
            <v>7.- Serveis de solucions verticals</v>
          </cell>
        </row>
        <row r="146">
          <cell r="A146" t="str">
            <v>SER0147</v>
          </cell>
          <cell r="B146" t="str">
            <v>Plataformes de interoperabilitat</v>
          </cell>
          <cell r="C146" t="str">
            <v>CARMONA RUIZ, JUAN CARLO</v>
          </cell>
          <cell r="D146" t="str">
            <v>LOPEZ BARBERO, RAFAEL</v>
          </cell>
          <cell r="E146" t="str">
            <v>LOPEZ BARBERO, RAFAEL</v>
          </cell>
          <cell r="F146" t="str">
            <v>Gerència Municipal</v>
          </cell>
          <cell r="G146" t="str">
            <v>Gerència Municipal</v>
          </cell>
          <cell r="H146" t="str">
            <v>Enginyeria, Frameworks i Moduls comuns</v>
          </cell>
          <cell r="I146" t="str">
            <v>ENGINYERIA PROGRAMARI, FRAMEWORKS I MODULS COMUNS</v>
          </cell>
          <cell r="J146" t="str">
            <v>Enginyeria, Frameworks i Moduls comuns</v>
          </cell>
        </row>
        <row r="147">
          <cell r="A147" t="str">
            <v>SER0148</v>
          </cell>
          <cell r="B147" t="str">
            <v>Servei de mobilitat</v>
          </cell>
          <cell r="C147" t="str">
            <v>COLLADO COSTA, ALEJANDRO</v>
          </cell>
          <cell r="D147" t="str">
            <v>LOPEZ BARBERO, RAFAEL</v>
          </cell>
          <cell r="E147" t="str">
            <v>LOPEZ BARBERO, RAFAEL</v>
          </cell>
          <cell r="F147" t="str">
            <v>Gerència Municipal</v>
          </cell>
          <cell r="G147" t="str">
            <v>Gerència Municipal</v>
          </cell>
          <cell r="H147" t="str">
            <v>Enginyeria, Frameworks i Moduls comuns</v>
          </cell>
          <cell r="I147" t="str">
            <v>ENGINYERIA PROGRAMARI, FRAMEWORKS I MODULS COMUNS</v>
          </cell>
          <cell r="J147" t="str">
            <v>Enginyeria, Frameworks i Moduls comuns</v>
          </cell>
        </row>
        <row r="148">
          <cell r="A148" t="str">
            <v>SER0149</v>
          </cell>
          <cell r="B148" t="str">
            <v>Plataforma BI  Cognos Corporativa</v>
          </cell>
          <cell r="C148" t="str">
            <v>ROSALES POLO, JOSE LUIS</v>
          </cell>
          <cell r="D148" t="str">
            <v>SOLER ORTIZ, RUBEN</v>
          </cell>
          <cell r="E148" t="str">
            <v>SOLER ORTIZ, RUBEN</v>
          </cell>
          <cell r="F148" t="str">
            <v>Gerència Adjunta de Coordinació Territorial</v>
          </cell>
          <cell r="G148" t="str">
            <v>Gerència Municipal</v>
          </cell>
          <cell r="H148" t="str">
            <v>7.- Serveis de solucions verticals</v>
          </cell>
          <cell r="I148" t="str">
            <v>CPD</v>
          </cell>
          <cell r="J148" t="str">
            <v>7.- Serveis de solucions verticals</v>
          </cell>
        </row>
        <row r="149">
          <cell r="A149" t="str">
            <v>SER0150</v>
          </cell>
          <cell r="B149" t="str">
            <v>Administració Alcaldia</v>
          </cell>
          <cell r="C149" t="str">
            <v>LILLO ESPINOSA, ROSA M.</v>
          </cell>
          <cell r="D149" t="str">
            <v>SANTAMARIA PEREZ, GLORIA</v>
          </cell>
          <cell r="E149" t="str">
            <v>SANTAMARIA PEREZ, GLORIA</v>
          </cell>
          <cell r="F149" t="str">
            <v>Gerència de Recursos</v>
          </cell>
          <cell r="G149" t="str">
            <v>Gerència de Recursos</v>
          </cell>
          <cell r="H149" t="str">
            <v>Secretaria, Administració General i Gestió Documental</v>
          </cell>
          <cell r="I149" t="str">
            <v>RECURSOS</v>
          </cell>
          <cell r="J149" t="str">
            <v>RECURSOS I ALCALDIA</v>
          </cell>
        </row>
        <row r="150">
          <cell r="A150" t="str">
            <v>SER0151</v>
          </cell>
          <cell r="B150" t="str">
            <v>Gestió d'ordres de la GUB i Speis</v>
          </cell>
          <cell r="C150" t="str">
            <v>LILLO ESPINOSA, ROSA M.</v>
          </cell>
          <cell r="D150" t="str">
            <v>TORTOLA FERNANDEZ, JOSE A.</v>
          </cell>
          <cell r="E150" t="str">
            <v>CLOTET CIRUELO, JOSEP</v>
          </cell>
          <cell r="F150" t="str">
            <v>Gerència de Prevenció, Seguretat i Mobilitat</v>
          </cell>
          <cell r="G150" t="str">
            <v>Gerència de Seguretat i Prevenció</v>
          </cell>
          <cell r="H150" t="str">
            <v>Espai Urbà</v>
          </cell>
          <cell r="I150" t="str">
            <v>SEGURETAT I PREVENCIÓ</v>
          </cell>
          <cell r="J150" t="str">
            <v>SEGURETAT I PREVENCIÓ</v>
          </cell>
        </row>
        <row r="151">
          <cell r="A151" t="str">
            <v>SER0152</v>
          </cell>
          <cell r="B151" t="str">
            <v>QDOC. Normes ISO</v>
          </cell>
          <cell r="C151" t="str">
            <v>ROCA VILALTA, XAVIER</v>
          </cell>
          <cell r="D151" t="str">
            <v>ROCA VILALTA, XAVIER</v>
          </cell>
          <cell r="E151" t="str">
            <v>ROCA VILALTA, XAVIER</v>
          </cell>
          <cell r="F151" t="str">
            <v>Gerència de Recursos</v>
          </cell>
          <cell r="G151" t="str">
            <v>Gerència Municipal</v>
          </cell>
          <cell r="H151" t="str">
            <v>Secretaria, Administració General i Gestió Documental</v>
          </cell>
          <cell r="I151" t="str">
            <v>DRETS CIUTADANIA, PARTICIPACIÓ I TRANSPARÈNCIA</v>
          </cell>
          <cell r="J151" t="str">
            <v>DRETS CIUTADANIA, PARTICIPACIÓ I TRANSPARÈNCIA</v>
          </cell>
        </row>
        <row r="152">
          <cell r="A152" t="str">
            <v>SER0153</v>
          </cell>
          <cell r="B152" t="str">
            <v>Tauler d'Edictes Electrònics</v>
          </cell>
          <cell r="C152" t="str">
            <v>CAPELLA MINGUELL, ROSA M.</v>
          </cell>
          <cell r="D152" t="str">
            <v>SANTAMARIA PEREZ, GLORIA</v>
          </cell>
          <cell r="E152" t="str">
            <v>SANTAMARIA PEREZ, GLORIA</v>
          </cell>
          <cell r="F152" t="str">
            <v>Gerència de Recursos</v>
          </cell>
          <cell r="G152" t="str">
            <v>Gerència de Recursos</v>
          </cell>
          <cell r="H152" t="str">
            <v>Secretaria, Administració General i Gestió Documental</v>
          </cell>
          <cell r="I152" t="str">
            <v>RECURSOS</v>
          </cell>
          <cell r="J152" t="str">
            <v>RECURSOS I ALCALDIA</v>
          </cell>
        </row>
        <row r="153">
          <cell r="A153" t="str">
            <v>SER0154</v>
          </cell>
          <cell r="B153" t="str">
            <v>Wifi outdoor (ciutadà) – servei finalista</v>
          </cell>
          <cell r="C153">
            <v>0</v>
          </cell>
          <cell r="D153">
            <v>0</v>
          </cell>
          <cell r="E153">
            <v>0</v>
          </cell>
          <cell r="F153" t="str">
            <v>Gerència Municipal</v>
          </cell>
          <cell r="G153" t="str">
            <v>Gerència Municipal</v>
          </cell>
          <cell r="H153" t="str">
            <v>3.- Serveis de enllaç de dades i xarxa</v>
          </cell>
          <cell r="I153">
            <v>0</v>
          </cell>
          <cell r="J153" t="str">
            <v>3.- Serveis de enllaç de dades i xarxa</v>
          </cell>
        </row>
        <row r="154">
          <cell r="A154" t="str">
            <v>SER0155</v>
          </cell>
          <cell r="B154" t="str">
            <v>Expedients OEP de Districtes</v>
          </cell>
          <cell r="C154" t="str">
            <v>MARCH COROMINAS, MERCEDES</v>
          </cell>
          <cell r="D154" t="str">
            <v>TORTOLA FERNANDEZ, JOSE A.</v>
          </cell>
          <cell r="E154" t="str">
            <v>GUILLEN BELLIDO, JOSÉ MIGUEL</v>
          </cell>
          <cell r="F154" t="str">
            <v>Gerència d'Hàbitat Urbà</v>
          </cell>
          <cell r="G154" t="str">
            <v>Gerència Ecologia Urbana</v>
          </cell>
          <cell r="H154" t="str">
            <v>Espai Urbà</v>
          </cell>
          <cell r="I154" t="str">
            <v>ECOLOGIA URBANA. URBANISME</v>
          </cell>
          <cell r="J154" t="str">
            <v>ECOLOGIA URBANA. URBANISME</v>
          </cell>
        </row>
        <row r="155">
          <cell r="A155" t="str">
            <v>SER0156</v>
          </cell>
          <cell r="B155" t="str">
            <v>Intranet</v>
          </cell>
          <cell r="C155" t="str">
            <v>ALMATO GUITERAS, GLORIA</v>
          </cell>
          <cell r="D155" t="str">
            <v>ROCA VILALTA, XAVIER</v>
          </cell>
          <cell r="E155" t="str">
            <v>COMAPOSADA MARTI, MONTSERRAT</v>
          </cell>
          <cell r="F155" t="str">
            <v>Gerència Municipal</v>
          </cell>
          <cell r="G155" t="str">
            <v>Gerència Municipal</v>
          </cell>
          <cell r="H155" t="str">
            <v>7.- Serveis de solucions verticals</v>
          </cell>
          <cell r="I155" t="str">
            <v>INTERNET I CANALS</v>
          </cell>
          <cell r="J155" t="str">
            <v>DTI</v>
          </cell>
        </row>
        <row r="156">
          <cell r="A156" t="str">
            <v>SER0157</v>
          </cell>
          <cell r="B156" t="str">
            <v>Mobilitat de telefonia</v>
          </cell>
          <cell r="C156" t="str">
            <v>AGULLO LEON, JACINTO</v>
          </cell>
          <cell r="E156" t="str">
            <v>AZNAR IGLESIAS, JUAN ANTON</v>
          </cell>
          <cell r="F156" t="str">
            <v>Gerència Municipal</v>
          </cell>
          <cell r="G156" t="str">
            <v>Gerència Municipal</v>
          </cell>
          <cell r="H156" t="str">
            <v>7.- Serveis de solucions verticals</v>
          </cell>
          <cell r="I156" t="str">
            <v>LLOC DE TREBALL</v>
          </cell>
          <cell r="J156" t="str">
            <v>7.- Serveis de solucions verticals</v>
          </cell>
        </row>
        <row r="157">
          <cell r="A157" t="str">
            <v>SER0158</v>
          </cell>
          <cell r="B157" t="str">
            <v>Mòdul comú d'Informes</v>
          </cell>
          <cell r="C157" t="str">
            <v>SOLA PUY, ALFRED</v>
          </cell>
          <cell r="D157" t="str">
            <v>TORTOLA FERNANDEZ, JOSE A.</v>
          </cell>
          <cell r="E157" t="str">
            <v>GUILLEN BELLIDO, JOSÉ MIGUEL</v>
          </cell>
          <cell r="F157" t="str">
            <v>Gerència d'Hàbitat Urbà</v>
          </cell>
          <cell r="G157" t="str">
            <v>Gerència Ecologia Urbana</v>
          </cell>
          <cell r="H157" t="str">
            <v>Espai Urbà</v>
          </cell>
          <cell r="I157" t="str">
            <v>ECOLOGIA URBANA. URBANISME</v>
          </cell>
          <cell r="J157" t="str">
            <v>ECOLOGIA URBANA. URBANISME</v>
          </cell>
        </row>
        <row r="158">
          <cell r="A158" t="str">
            <v>SER0159</v>
          </cell>
          <cell r="B158" t="str">
            <v>Gestió d'Expedients de Personal</v>
          </cell>
          <cell r="C158" t="str">
            <v>ILLAN ROURA, INES</v>
          </cell>
          <cell r="D158" t="str">
            <v>PUY CASTELLS, JOSEP</v>
          </cell>
          <cell r="E158" t="str">
            <v>PUY CASTELLS, JOSEP</v>
          </cell>
          <cell r="F158" t="str">
            <v>Gerència de Recursos Humans i Organització</v>
          </cell>
          <cell r="G158" t="str">
            <v>Gerència de Recursos Humans i Organització</v>
          </cell>
          <cell r="H158" t="str">
            <v>Recursos Humans</v>
          </cell>
          <cell r="I158" t="str">
            <v>RRHH I ORGANITZACIÓ</v>
          </cell>
          <cell r="J158" t="str">
            <v>RRHH I ORGANITZACIÓ</v>
          </cell>
        </row>
        <row r="159">
          <cell r="A159" t="str">
            <v>SER0160</v>
          </cell>
          <cell r="B159" t="str">
            <v>Sistemes d'Informació, Tràmits i Gestions</v>
          </cell>
          <cell r="C159" t="str">
            <v>ROSSELL BLAZQUEZ, ALBERT</v>
          </cell>
          <cell r="D159" t="str">
            <v>TRIAS JUNCOSA, JAUME</v>
          </cell>
          <cell r="E159" t="str">
            <v>TRIAS JUNCOSA, JAUME</v>
          </cell>
          <cell r="F159" t="str">
            <v>Gerència de Recursos</v>
          </cell>
          <cell r="G159" t="str">
            <v>Gerència de Drets de Ciutadania, Participació i Transpàrencia</v>
          </cell>
          <cell r="H159" t="str">
            <v>Atenció al Ciutadà</v>
          </cell>
          <cell r="I159" t="str">
            <v>DRETS CIUTADANIA, PARTICIPACIÓ I TRANSPARÈNCIA</v>
          </cell>
          <cell r="J159" t="str">
            <v>DRETS CIUTADANIA, PARTICIPACIÓ I TRANSPARÈNCIA</v>
          </cell>
        </row>
        <row r="160">
          <cell r="A160" t="str">
            <v>SER0161</v>
          </cell>
          <cell r="B160" t="str">
            <v>Tramitacions per Internet</v>
          </cell>
          <cell r="C160" t="str">
            <v>TRIAS JUNCOSA, JAUME</v>
          </cell>
          <cell r="D160" t="str">
            <v>TRIAS JUNCOSA, JAUME</v>
          </cell>
          <cell r="E160" t="str">
            <v>TRIAS JUNCOSA, JAUME</v>
          </cell>
          <cell r="F160" t="str">
            <v>Gerència de Recursos</v>
          </cell>
          <cell r="G160" t="str">
            <v>Gerència de Recursos</v>
          </cell>
          <cell r="H160" t="str">
            <v>Atenció al Ciutadà</v>
          </cell>
          <cell r="I160" t="str">
            <v>SERVEIS COMUNS ADMINISTRACIÓ ELECTRÓNICA</v>
          </cell>
          <cell r="J160" t="str">
            <v>TRAMITACIÓ, PORTAL I CARPETES</v>
          </cell>
        </row>
        <row r="161">
          <cell r="A161" t="str">
            <v>SER0162</v>
          </cell>
          <cell r="B161" t="str">
            <v>Quioscos multiserveis</v>
          </cell>
          <cell r="C161" t="str">
            <v>TRIAS JUNCOSA, JAUME</v>
          </cell>
          <cell r="D161" t="str">
            <v>TRIAS JUNCOSA, JAUME</v>
          </cell>
          <cell r="E161" t="str">
            <v>TRIAS JUNCOSA, JAUME</v>
          </cell>
          <cell r="F161" t="str">
            <v>Gerència de Recursos</v>
          </cell>
          <cell r="G161" t="str">
            <v>Gerència de Drets de Ciutadania, Participació i Transpàrencia</v>
          </cell>
          <cell r="H161" t="str">
            <v>Atenció al Ciutadà</v>
          </cell>
          <cell r="I161" t="str">
            <v>DRETS CIUTADANIA, PARTICIPACIÓ I TRANSPARÈNCIA</v>
          </cell>
          <cell r="J161" t="str">
            <v>DRETS CIUTADANIA, PARTICIPACIÓ I TRANSPARÈNCIA</v>
          </cell>
        </row>
        <row r="162">
          <cell r="A162" t="str">
            <v>SER0163</v>
          </cell>
          <cell r="B162" t="str">
            <v>Servei de cita prèvia a les OAC's i Serveis Tècnics</v>
          </cell>
          <cell r="C162" t="str">
            <v>TRIAS JUNCOSA, JAUME</v>
          </cell>
          <cell r="D162" t="str">
            <v>TRIAS JUNCOSA, JAUME</v>
          </cell>
          <cell r="E162" t="str">
            <v>TRIAS JUNCOSA, JAUME</v>
          </cell>
          <cell r="F162" t="str">
            <v>Gerència de Recursos</v>
          </cell>
          <cell r="G162" t="str">
            <v>Gerència de Drets de Ciutadania, Participació i Transpàrencia</v>
          </cell>
          <cell r="H162" t="str">
            <v>Atenció al Ciutadà</v>
          </cell>
          <cell r="I162" t="str">
            <v>DRETS CIUTADANIA, PARTICIPACIÓ I TRANSPARÈNCIA</v>
          </cell>
          <cell r="J162" t="str">
            <v>DRETS CIUTADANIA, PARTICIPACIÓ I TRANSPARÈNCIA</v>
          </cell>
        </row>
        <row r="163">
          <cell r="A163" t="str">
            <v>SER0164</v>
          </cell>
          <cell r="B163" t="str">
            <v>Serveis web de publicació i interoperabilitat cartogràfica</v>
          </cell>
          <cell r="C163" t="str">
            <v>BOLIVAR LEYVA, MIGUEL ANG</v>
          </cell>
          <cell r="D163" t="str">
            <v>Sanz Marco, Lluis</v>
          </cell>
          <cell r="E163">
            <v>0</v>
          </cell>
          <cell r="F163" t="str">
            <v>IMI-IDB</v>
          </cell>
          <cell r="G163" t="str">
            <v>IMI-IDB</v>
          </cell>
          <cell r="H163" t="str">
            <v>Espai Urbà</v>
          </cell>
          <cell r="I163" t="str">
            <v>IMI - IDB</v>
          </cell>
          <cell r="J163" t="str">
            <v>Espai Urbà</v>
          </cell>
        </row>
        <row r="164">
          <cell r="A164" t="str">
            <v>SER0165</v>
          </cell>
          <cell r="B164" t="str">
            <v>Servei de visualització territorial Corporatiu (VISTA)</v>
          </cell>
          <cell r="C164" t="str">
            <v>BOLIVAR LEYVA, MIGUEL ANG</v>
          </cell>
          <cell r="D164" t="str">
            <v>SANZ MARCO, LLUIS</v>
          </cell>
          <cell r="E164">
            <v>0</v>
          </cell>
          <cell r="F164" t="str">
            <v>IMI-IDB</v>
          </cell>
          <cell r="G164" t="str">
            <v>IMI-IDB</v>
          </cell>
          <cell r="H164" t="str">
            <v>Espai Urbà</v>
          </cell>
          <cell r="I164" t="str">
            <v>IMI - IDB</v>
          </cell>
          <cell r="J164" t="str">
            <v>Espai Urbà</v>
          </cell>
        </row>
        <row r="165">
          <cell r="A165" t="str">
            <v>SER0166</v>
          </cell>
          <cell r="B165" t="str">
            <v>Serveis derivats de la plataforma Vista</v>
          </cell>
          <cell r="C165" t="str">
            <v>CEBRIAN AGRAS, JORDI</v>
          </cell>
          <cell r="D165" t="str">
            <v>LOPEZ FUMANAL, JUANJO</v>
          </cell>
          <cell r="E165" t="str">
            <v>GARCIA DE PEDRO, ENRIC</v>
          </cell>
          <cell r="F165" t="str">
            <v>IMI-IDB</v>
          </cell>
          <cell r="G165" t="str">
            <v>IMI-IDB</v>
          </cell>
          <cell r="H165" t="str">
            <v>IDB-Cartografia</v>
          </cell>
          <cell r="I165" t="str">
            <v>INFORMACIÓ DE BASE</v>
          </cell>
          <cell r="J165" t="str">
            <v>IDB-Cartografia</v>
          </cell>
        </row>
        <row r="166">
          <cell r="A166" t="str">
            <v>SER0167</v>
          </cell>
          <cell r="B166" t="str">
            <v>Servei d'integració de la informació i coneixement per a la coordinació territorial (BiMAP)</v>
          </cell>
          <cell r="C166" t="str">
            <v>ROSSELL BLAZQUEZ, ALBERT</v>
          </cell>
          <cell r="D166" t="str">
            <v>LOPEZ FUMANAL, JUANJO</v>
          </cell>
          <cell r="E166" t="str">
            <v>TRIAS JUNCOSA, JAUME</v>
          </cell>
          <cell r="F166" t="str">
            <v>Gerència Adjunta de Coordinació Territorial</v>
          </cell>
          <cell r="G166" t="str">
            <v>Gerència de Recursos</v>
          </cell>
          <cell r="H166" t="str">
            <v>Anàlisi de dades i Reporting</v>
          </cell>
          <cell r="I166" t="str">
            <v>INFORMACIÓ DE BASE</v>
          </cell>
          <cell r="J166" t="str">
            <v>INFORMACIÓ DE BASE</v>
          </cell>
        </row>
        <row r="167">
          <cell r="A167" t="str">
            <v>SER0168</v>
          </cell>
          <cell r="B167" t="str">
            <v>Servei web de consulta de la Guia Urbana i equipaments municipals (www.bcn.cat/guia)</v>
          </cell>
          <cell r="C167" t="str">
            <v>URENDA CHAVES, JOSE IGNAC</v>
          </cell>
          <cell r="E167" t="str">
            <v>GARCIA DE PEDRO, ENRIC</v>
          </cell>
          <cell r="F167" t="str">
            <v>Gerència de Recursos</v>
          </cell>
          <cell r="G167" t="str">
            <v>Gerència de Drets de Ciutadania, Participació i Transpàrencia</v>
          </cell>
          <cell r="H167" t="str">
            <v>IDB-Cartografia</v>
          </cell>
          <cell r="I167" t="str">
            <v>INFORMACIÓ DE BASE</v>
          </cell>
          <cell r="J167" t="str">
            <v>IDB-Cartografia</v>
          </cell>
        </row>
        <row r="168">
          <cell r="A168" t="str">
            <v>SER0169</v>
          </cell>
          <cell r="B168" t="str">
            <v>Servei d'integració de la informació urbanística per a la gestió interna municipal (SICS)</v>
          </cell>
          <cell r="C168" t="str">
            <v>LLINARES GINER, JAVIER</v>
          </cell>
          <cell r="E168" t="str">
            <v>GARCIA DE PEDRO, ENRIC</v>
          </cell>
          <cell r="F168" t="str">
            <v>IMI-IDB</v>
          </cell>
          <cell r="G168" t="str">
            <v>IMI-IDB</v>
          </cell>
          <cell r="H168" t="str">
            <v>IDB-Cartografia</v>
          </cell>
          <cell r="I168" t="str">
            <v>INFORMACIÓ DE BASE</v>
          </cell>
          <cell r="J168" t="str">
            <v>IDB-Cartografia</v>
          </cell>
        </row>
        <row r="169">
          <cell r="A169" t="str">
            <v>SER0170</v>
          </cell>
          <cell r="B169" t="str">
            <v>Serveis d'accés i tractament dela informació del SITEB basats en la plataforma Microstation (REFSITE</v>
          </cell>
          <cell r="C169" t="str">
            <v>NIEVA BENITO, JAVIER</v>
          </cell>
          <cell r="E169" t="str">
            <v>GARCIA DE PEDRO, ENRIC</v>
          </cell>
          <cell r="F169" t="str">
            <v>IMI-IDB</v>
          </cell>
          <cell r="G169" t="str">
            <v>IMI-IDB</v>
          </cell>
          <cell r="H169" t="str">
            <v>IDB-Cartografia</v>
          </cell>
          <cell r="I169" t="str">
            <v>INFORMACIÓ DE BASE</v>
          </cell>
          <cell r="J169" t="str">
            <v>IDB-Cartografia</v>
          </cell>
        </row>
        <row r="170">
          <cell r="A170" t="str">
            <v>SER0171</v>
          </cell>
          <cell r="B170" t="str">
            <v>Servei de suport cartogràfic a la gestió de la fiscalitat dels guals. (Gguals)</v>
          </cell>
          <cell r="C170" t="str">
            <v>LLINARES GINER, JAVIER</v>
          </cell>
          <cell r="E170" t="str">
            <v>GARCIA DE PEDRO, ENRIC</v>
          </cell>
          <cell r="F170" t="str">
            <v>Gerència de Prevenció, Seguretat i Mobilitat</v>
          </cell>
          <cell r="G170" t="str">
            <v>Gerència Ecologia Urbana</v>
          </cell>
          <cell r="H170" t="str">
            <v>IDB-Cartografia</v>
          </cell>
          <cell r="I170" t="str">
            <v>INFORMACIÓ DE BASE</v>
          </cell>
          <cell r="J170" t="str">
            <v>IDB-Cartografia</v>
          </cell>
        </row>
        <row r="171">
          <cell r="A171" t="str">
            <v>SER0172</v>
          </cell>
          <cell r="B171" t="str">
            <v>Servei de manteniment de la xarxa viària i sentits de circulació (Hermes)</v>
          </cell>
          <cell r="C171" t="str">
            <v>LLINARES GINER, JAVIER</v>
          </cell>
          <cell r="E171" t="str">
            <v>GARCIA DE PEDRO, ENRIC</v>
          </cell>
          <cell r="F171" t="str">
            <v>Gerència de Prevenció, Seguretat i Mobilitat</v>
          </cell>
          <cell r="G171" t="str">
            <v>Gerència Ecologia Urbana</v>
          </cell>
          <cell r="H171" t="str">
            <v>IDB-Cartografia</v>
          </cell>
          <cell r="I171" t="str">
            <v>INFORMACIÓ DE BASE</v>
          </cell>
          <cell r="J171" t="str">
            <v>IDB-Cartografia</v>
          </cell>
        </row>
        <row r="172">
          <cell r="A172" t="str">
            <v>SER0173</v>
          </cell>
          <cell r="B172" t="str">
            <v>Servei de manteniment i explotació de les fitxes itineràries de SPEIS  (Aigua)</v>
          </cell>
          <cell r="C172" t="str">
            <v>LLINARES GINER, JAVIER</v>
          </cell>
          <cell r="E172" t="str">
            <v>GARCIA DE PEDRO, ENRIC</v>
          </cell>
          <cell r="F172" t="str">
            <v>Gerència de Prevenció, Seguretat i Mobilitat</v>
          </cell>
          <cell r="G172" t="str">
            <v>Gerència de Seguretat i Prevenció</v>
          </cell>
          <cell r="H172" t="str">
            <v>IDB-Cartografia</v>
          </cell>
          <cell r="I172" t="str">
            <v>INFORMACIÓ DE BASE</v>
          </cell>
          <cell r="J172" t="str">
            <v>IDB-Cartografia</v>
          </cell>
        </row>
        <row r="173">
          <cell r="A173" t="str">
            <v>SER0174</v>
          </cell>
          <cell r="B173" t="str">
            <v>Interoperabilitat Interna</v>
          </cell>
          <cell r="C173" t="str">
            <v>AOIZ LINARES, J.JAVIER</v>
          </cell>
          <cell r="D173" t="str">
            <v>SOLER ORTIZ, RUBEN</v>
          </cell>
          <cell r="E173" t="str">
            <v>SOLER ORTIZ, RUBEN</v>
          </cell>
          <cell r="F173" t="str">
            <v>Gerència Municipal</v>
          </cell>
          <cell r="G173" t="str">
            <v>Gerència Municipal</v>
          </cell>
          <cell r="H173">
            <v>0</v>
          </cell>
          <cell r="I173" t="str">
            <v>CPD</v>
          </cell>
          <cell r="J173">
            <v>0</v>
          </cell>
        </row>
        <row r="174">
          <cell r="A174" t="str">
            <v>SER0175</v>
          </cell>
          <cell r="B174" t="str">
            <v>Servei de Comunicació Interna</v>
          </cell>
          <cell r="C174" t="str">
            <v>BERENGUER FELIPE DE, CRISTINA</v>
          </cell>
          <cell r="E174" t="str">
            <v>HERNAIZ ALZAMORA, DAVID</v>
          </cell>
          <cell r="F174" t="str">
            <v>IMI-TIC</v>
          </cell>
          <cell r="G174" t="str">
            <v>IMI-TIC</v>
          </cell>
          <cell r="H174" t="str">
            <v>Sistemes Gestió IMI</v>
          </cell>
          <cell r="I174" t="str">
            <v>ATENCIÓ PROPERA A L'USUARI</v>
          </cell>
          <cell r="J174" t="str">
            <v>Sistemes Gestió IMI</v>
          </cell>
        </row>
        <row r="175">
          <cell r="A175" t="str">
            <v>SER0176</v>
          </cell>
          <cell r="B175" t="str">
            <v>Gestió del coneixement</v>
          </cell>
          <cell r="C175" t="str">
            <v>JEREZ MARTINEZ, JOSEFINA</v>
          </cell>
          <cell r="E175" t="e">
            <v>#N/A</v>
          </cell>
          <cell r="F175" t="str">
            <v>IMI-TIC</v>
          </cell>
          <cell r="G175" t="e">
            <v>#N/A</v>
          </cell>
          <cell r="H175" t="str">
            <v>Sistemes Gestió IMI</v>
          </cell>
          <cell r="I175" t="e">
            <v>#N/A</v>
          </cell>
          <cell r="J175" t="str">
            <v>Sistemes Gestió IMI</v>
          </cell>
        </row>
        <row r="176">
          <cell r="A176" t="str">
            <v>SER0177</v>
          </cell>
          <cell r="B176" t="str">
            <v>Servei Comú de Plantilles</v>
          </cell>
          <cell r="C176" t="str">
            <v>ECHEVARRIA MESEGUER, CARLOS</v>
          </cell>
          <cell r="E176">
            <v>0</v>
          </cell>
          <cell r="F176" t="str">
            <v>Gerència Municipal</v>
          </cell>
          <cell r="G176" t="str">
            <v>Gerència Municipal</v>
          </cell>
          <cell r="H176" t="str">
            <v>Enginyeria, Frameworks i Moduls comuns</v>
          </cell>
          <cell r="I176" t="str">
            <v>ENGINYERIA PROGRAMARI, FRAMEWORKS I MODULS COMUNS</v>
          </cell>
          <cell r="J176" t="str">
            <v>ENGINYERIA PROGRAMARI, FRAMEWORKS I MODULS COMUNS</v>
          </cell>
        </row>
        <row r="177">
          <cell r="A177" t="str">
            <v>SER0178</v>
          </cell>
          <cell r="B177" t="str">
            <v>Arquitectura ARIS</v>
          </cell>
          <cell r="C177" t="str">
            <v>SUBIRAS PUGIBET, JAUME</v>
          </cell>
          <cell r="D177" t="str">
            <v>ECHEVARRIA MESEGUER, CARLOS</v>
          </cell>
          <cell r="E177">
            <v>0</v>
          </cell>
          <cell r="F177" t="str">
            <v>IMI-TIC</v>
          </cell>
          <cell r="G177" t="str">
            <v>IMI-TIC</v>
          </cell>
          <cell r="H177" t="str">
            <v xml:space="preserve">Procesos </v>
          </cell>
          <cell r="I177">
            <v>0</v>
          </cell>
          <cell r="J177" t="str">
            <v xml:space="preserve">Procesos </v>
          </cell>
        </row>
        <row r="178">
          <cell r="A178" t="str">
            <v>SER0179</v>
          </cell>
          <cell r="B178" t="str">
            <v>Servei eines de Gestió de Serveis</v>
          </cell>
          <cell r="C178" t="str">
            <v>SENTIS ORTIZ, JOAN</v>
          </cell>
          <cell r="D178" t="str">
            <v>LAGE HUERTAS, JOSE</v>
          </cell>
          <cell r="E178" t="str">
            <v>LAGE HUERTAS, JOSE</v>
          </cell>
          <cell r="F178" t="str">
            <v>IMI-TIC</v>
          </cell>
          <cell r="G178" t="str">
            <v>IMI-TIC</v>
          </cell>
          <cell r="H178" t="str">
            <v>Gestió Serveis TIC</v>
          </cell>
          <cell r="I178" t="str">
            <v>SMO - Gestió de Serveis</v>
          </cell>
          <cell r="J178" t="str">
            <v>Gestió Serveis TIC</v>
          </cell>
        </row>
        <row r="179">
          <cell r="A179" t="str">
            <v>SER0180</v>
          </cell>
          <cell r="B179" t="str">
            <v>Registre d'activitats i tràmits (RAT)</v>
          </cell>
          <cell r="C179" t="str">
            <v>ALEMANY SERRA, FRANCESC</v>
          </cell>
          <cell r="D179" t="str">
            <v>TRIAS JUNCOSA, JAUME</v>
          </cell>
          <cell r="E179" t="str">
            <v>TRIAS JUNCOSA, JAUME</v>
          </cell>
          <cell r="F179" t="str">
            <v>Gerència de Recursos</v>
          </cell>
          <cell r="G179" t="str">
            <v>Gerència de Recursos</v>
          </cell>
          <cell r="H179" t="str">
            <v>Atenció al Ciutadà</v>
          </cell>
          <cell r="I179" t="str">
            <v>DRETS CIUTADANIA, PARTICIPACIÓ I TRANSPARÈNCIA</v>
          </cell>
          <cell r="J179" t="str">
            <v>TRAMITACIÓ, PORTAL I CARPETES</v>
          </cell>
        </row>
        <row r="180">
          <cell r="A180" t="str">
            <v>SER0181</v>
          </cell>
          <cell r="B180" t="str">
            <v>Servei impressió de host</v>
          </cell>
          <cell r="C180" t="str">
            <v>AGUIRRE BARROS, MARIO</v>
          </cell>
          <cell r="E180" t="str">
            <v>AZNAR IGLESIAS, JUAN ANTON</v>
          </cell>
          <cell r="F180" t="str">
            <v>Institut Municipal d'Hisenda de Barcelona</v>
          </cell>
          <cell r="G180" t="str">
            <v>Institut Municipal d'Hisenda de Barcelona</v>
          </cell>
          <cell r="H180">
            <v>0</v>
          </cell>
          <cell r="I180" t="str">
            <v>LLOC DE TREBALL</v>
          </cell>
          <cell r="J180">
            <v>0</v>
          </cell>
        </row>
        <row r="181">
          <cell r="A181" t="str">
            <v>SER0182</v>
          </cell>
          <cell r="B181" t="str">
            <v>Servei impressió ofimàtica</v>
          </cell>
          <cell r="C181" t="str">
            <v>AGUIRRE BARROS, MARIO</v>
          </cell>
          <cell r="E181" t="str">
            <v>AZNAR IGLESIAS, JUAN ANTON</v>
          </cell>
          <cell r="F181" t="str">
            <v>Gerència Municipal</v>
          </cell>
          <cell r="G181" t="str">
            <v>Gerència Municipal</v>
          </cell>
          <cell r="H181">
            <v>0</v>
          </cell>
          <cell r="I181" t="str">
            <v>LLOC DE TREBALL</v>
          </cell>
          <cell r="J181">
            <v>0</v>
          </cell>
        </row>
        <row r="182">
          <cell r="A182" t="str">
            <v>SER0183</v>
          </cell>
          <cell r="B182" t="str">
            <v>Llicències d'Activitat</v>
          </cell>
          <cell r="C182" t="str">
            <v>GARCIA GONZALEZ, JOSEP</v>
          </cell>
          <cell r="D182" t="str">
            <v>TORTOLA FERNANDEZ, JOSE A.</v>
          </cell>
          <cell r="E182" t="str">
            <v>GUILLEN BELLIDO, JOSÉ MIGUEL</v>
          </cell>
          <cell r="F182" t="str">
            <v>Gerència d'Hàbitat Urbà</v>
          </cell>
          <cell r="G182" t="str">
            <v>Gerència Ecologia Urbana</v>
          </cell>
          <cell r="H182" t="str">
            <v>Espai Urbà</v>
          </cell>
          <cell r="I182" t="str">
            <v>ECOLOGIA URBANA. URBANISME</v>
          </cell>
          <cell r="J182" t="str">
            <v>GUILLEN BELLIDO, JOSÉ MIGUEL</v>
          </cell>
        </row>
        <row r="183">
          <cell r="A183" t="str">
            <v>SER0184</v>
          </cell>
          <cell r="B183" t="str">
            <v>Govern web - oficina tècnica</v>
          </cell>
          <cell r="C183" t="str">
            <v>ALMATO GUITERAS, GLORIA</v>
          </cell>
          <cell r="D183" t="str">
            <v>ROCA VILALTA, XAVIER</v>
          </cell>
          <cell r="E183" t="str">
            <v>COMAPOSADA MARTI, MONTSERRAT</v>
          </cell>
          <cell r="F183" t="str">
            <v>Gerència de Recursos</v>
          </cell>
          <cell r="G183" t="str">
            <v>Gerència de Recursos</v>
          </cell>
          <cell r="H183" t="str">
            <v>DTI</v>
          </cell>
          <cell r="I183" t="str">
            <v>INTERNET I CANALS</v>
          </cell>
          <cell r="J183" t="str">
            <v>DTI</v>
          </cell>
        </row>
        <row r="184">
          <cell r="A184" t="str">
            <v>SER0185</v>
          </cell>
          <cell r="B184" t="str">
            <v>Indicadors web</v>
          </cell>
          <cell r="C184" t="str">
            <v>BITLLOCH PUIGVERT, JOAN R</v>
          </cell>
          <cell r="D184" t="str">
            <v>ROCA VILALTA, XAVIER</v>
          </cell>
          <cell r="E184" t="str">
            <v>MARCILLAS RIERA, SILVIA</v>
          </cell>
          <cell r="F184" t="str">
            <v>Gerència de Recursos</v>
          </cell>
          <cell r="G184" t="str">
            <v>Gerència de Recursos</v>
          </cell>
          <cell r="H184" t="str">
            <v>DTI</v>
          </cell>
          <cell r="I184" t="str">
            <v>DRETS CIUTADANIA, PARTICIPACIÓ I TRANSPARÈNCIA</v>
          </cell>
          <cell r="J184" t="str">
            <v>DTI</v>
          </cell>
        </row>
        <row r="185">
          <cell r="A185" t="str">
            <v>SER0186</v>
          </cell>
          <cell r="B185" t="str">
            <v>Mòduls transversals d'Internet</v>
          </cell>
          <cell r="C185" t="str">
            <v>COMAPOSADA MARTI, MONTSERRAT</v>
          </cell>
          <cell r="D185" t="str">
            <v>ROCA VILALTA, XAVIER</v>
          </cell>
          <cell r="E185" t="str">
            <v>MARCILLAS RIERA, SILVIA</v>
          </cell>
          <cell r="F185" t="str">
            <v>Gerència de Recursos</v>
          </cell>
          <cell r="G185" t="str">
            <v>Gerència de Recursos</v>
          </cell>
          <cell r="H185" t="str">
            <v>DTI</v>
          </cell>
          <cell r="I185" t="str">
            <v>DRETS CIUTADANIA, PARTICIPACIÓ I TRANSPARÈNCIA</v>
          </cell>
          <cell r="J185" t="str">
            <v>DTI</v>
          </cell>
        </row>
        <row r="186">
          <cell r="A186" t="str">
            <v>SER0187</v>
          </cell>
          <cell r="B186" t="str">
            <v>Gestió de continguts d'Internet</v>
          </cell>
          <cell r="C186" t="str">
            <v>ALMATO GUITERAS, GLORIA</v>
          </cell>
          <cell r="D186" t="str">
            <v>ROCA VILALTA, XAVIER</v>
          </cell>
          <cell r="E186" t="str">
            <v>MARCILLAS RIERA, SILVIA</v>
          </cell>
          <cell r="F186" t="str">
            <v>Gerència de Recursos</v>
          </cell>
          <cell r="G186" t="str">
            <v>Gerència de Recursos</v>
          </cell>
          <cell r="H186" t="str">
            <v>DTI</v>
          </cell>
          <cell r="I186" t="str">
            <v>INTERNET I CANALS</v>
          </cell>
          <cell r="J186" t="str">
            <v>DTI</v>
          </cell>
        </row>
        <row r="187">
          <cell r="A187" t="str">
            <v>SER0188</v>
          </cell>
          <cell r="B187" t="str">
            <v>Infrastructures web</v>
          </cell>
          <cell r="C187" t="str">
            <v>BITLLOCH PUIGVERT, JOAN R</v>
          </cell>
          <cell r="D187" t="str">
            <v>ROCA VILALTA, XAVIER</v>
          </cell>
          <cell r="E187" t="str">
            <v>MARCILLAS RIERA, SILVIA</v>
          </cell>
          <cell r="F187" t="str">
            <v>Gerència de Recursos</v>
          </cell>
          <cell r="G187" t="str">
            <v>Gerència de Recursos</v>
          </cell>
          <cell r="H187" t="str">
            <v>DTI</v>
          </cell>
          <cell r="I187" t="str">
            <v>DRETS CIUTADANIA, PARTICIPACIÓ I TRANSPARÈNCIA</v>
          </cell>
          <cell r="J187" t="str">
            <v>DTI</v>
          </cell>
        </row>
        <row r="188">
          <cell r="A188" t="str">
            <v>SER0189</v>
          </cell>
          <cell r="B188" t="str">
            <v>Webs especials</v>
          </cell>
          <cell r="C188" t="str">
            <v>COMAPOSADA MARTI, MONTSERRAT</v>
          </cell>
          <cell r="D188" t="str">
            <v>ROCA VILALTA, XAVIER</v>
          </cell>
          <cell r="E188" t="str">
            <v>MARCILLAS RIERA, SILVIA</v>
          </cell>
          <cell r="F188" t="str">
            <v>Gerència de Recursos</v>
          </cell>
          <cell r="G188" t="str">
            <v>Gerència de Recursos</v>
          </cell>
          <cell r="H188" t="str">
            <v>DTI</v>
          </cell>
          <cell r="I188" t="str">
            <v>DRETS CIUTADANIA, PARTICIPACIÓ I TRANSPARÈNCIA</v>
          </cell>
          <cell r="J188" t="str">
            <v>DTI</v>
          </cell>
        </row>
        <row r="189">
          <cell r="A189" t="str">
            <v>SER0190</v>
          </cell>
          <cell r="B189" t="str">
            <v>Web Notícies</v>
          </cell>
          <cell r="C189" t="str">
            <v>COMAPOSADA MARTI, MONTSERRAT</v>
          </cell>
          <cell r="D189" t="str">
            <v>ROCA VILALTA, XAVIER</v>
          </cell>
          <cell r="E189" t="str">
            <v>MARCILLAS RIERA, SILVIA</v>
          </cell>
          <cell r="F189" t="str">
            <v>Gerència de Recursos</v>
          </cell>
          <cell r="G189" t="str">
            <v>Gerència de Recursos</v>
          </cell>
          <cell r="H189" t="str">
            <v>DTI</v>
          </cell>
          <cell r="I189" t="str">
            <v>DRETS CIUTADANIA, PARTICIPACIÓ I TRANSPARÈNCIA</v>
          </cell>
          <cell r="J189" t="str">
            <v>DTI</v>
          </cell>
        </row>
        <row r="190">
          <cell r="A190" t="str">
            <v>SER0191</v>
          </cell>
          <cell r="B190" t="str">
            <v>Web Publicacions</v>
          </cell>
          <cell r="C190" t="str">
            <v>ALMATO GUITERAS, GLORIA</v>
          </cell>
          <cell r="D190" t="str">
            <v>ROCA VILALTA, XAVIER</v>
          </cell>
          <cell r="E190" t="str">
            <v>MARCILLAS RIERA, SILVIA</v>
          </cell>
          <cell r="F190" t="str">
            <v>Gerència de Recursos</v>
          </cell>
          <cell r="G190" t="str">
            <v>Gerència de Recursos</v>
          </cell>
          <cell r="H190" t="str">
            <v>DTI</v>
          </cell>
          <cell r="I190" t="str">
            <v>DRETS CIUTADANIA, PARTICIPACIÓ I TRANSPARÈNCIA</v>
          </cell>
          <cell r="J190" t="str">
            <v>DTI</v>
          </cell>
        </row>
        <row r="191">
          <cell r="A191" t="str">
            <v>SER0192</v>
          </cell>
          <cell r="B191" t="str">
            <v>Serveis Multimèdia Web</v>
          </cell>
          <cell r="C191" t="str">
            <v>ALMATO GUITERAS, GLORIA</v>
          </cell>
          <cell r="D191" t="str">
            <v>ROCA VILALTA, XAVIER</v>
          </cell>
          <cell r="E191" t="str">
            <v>MARCILLAS RIERA, SILVIA</v>
          </cell>
          <cell r="F191" t="str">
            <v>Gerència de Recursos</v>
          </cell>
          <cell r="G191" t="str">
            <v>Gerència de Recursos</v>
          </cell>
          <cell r="H191" t="str">
            <v>DTI</v>
          </cell>
          <cell r="I191" t="str">
            <v>DRETS CIUTADANIA, PARTICIPACIÓ I TRANSPARÈNCIA</v>
          </cell>
          <cell r="J191" t="str">
            <v>DTI</v>
          </cell>
        </row>
        <row r="192">
          <cell r="A192" t="str">
            <v>SER0193</v>
          </cell>
          <cell r="B192" t="str">
            <v>Traces d'auditoria d'accesos i consulta de dades</v>
          </cell>
          <cell r="C192" t="str">
            <v>CARMONA RUIZ, JUAN CARLO</v>
          </cell>
          <cell r="D192" t="str">
            <v>LOPEZ BARBERO, RAFAEL</v>
          </cell>
          <cell r="E192" t="str">
            <v>LOPEZ BARBERO, RAFAEL</v>
          </cell>
          <cell r="F192" t="str">
            <v>Gerència Municipal</v>
          </cell>
          <cell r="G192" t="str">
            <v>Gerència Municipal</v>
          </cell>
          <cell r="H192" t="str">
            <v>Enginyeria, Frameworks i Moduls comuns</v>
          </cell>
          <cell r="I192" t="str">
            <v>ENGINYERIA PROGRAMARI, FRAMEWORKS I MODULS COMUNS</v>
          </cell>
          <cell r="J192" t="str">
            <v>ENGINYERIA PROGRAMARI, FRAMEWORKS I MODULS COMUNS</v>
          </cell>
        </row>
        <row r="193">
          <cell r="A193" t="str">
            <v>SER0194</v>
          </cell>
          <cell r="B193" t="str">
            <v>Reports, Plantilles i SICON</v>
          </cell>
          <cell r="C193" t="str">
            <v>ORTIZ QUINTANA, IVAN</v>
          </cell>
          <cell r="D193" t="str">
            <v>LOPEZ BARBERO, RAFAEL</v>
          </cell>
          <cell r="E193" t="str">
            <v>LOPEZ BARBERO, RAFAEL</v>
          </cell>
          <cell r="F193" t="str">
            <v>Gerència Municipal</v>
          </cell>
          <cell r="G193" t="str">
            <v>Gerència Municipal</v>
          </cell>
          <cell r="H193" t="str">
            <v>Enginyeria, Frameworks i Moduls comuns</v>
          </cell>
          <cell r="I193" t="str">
            <v>ENGINYERIA PROGRAMARI, FRAMEWORKS I MODULS COMUNS</v>
          </cell>
          <cell r="J193" t="str">
            <v>ENGINYERIA PROGRAMARI, FRAMEWORKS I MODULS COMUNS</v>
          </cell>
        </row>
        <row r="194">
          <cell r="A194" t="str">
            <v>SER0195</v>
          </cell>
          <cell r="B194" t="str">
            <v>Estadístiques Municipals</v>
          </cell>
          <cell r="C194" t="str">
            <v>AZORI JUNYENT, CARLOS</v>
          </cell>
          <cell r="D194" t="str">
            <v>TRIAS JUNCOSA, JAUME</v>
          </cell>
          <cell r="E194" t="str">
            <v>SERRA FERRANDO, MARTA</v>
          </cell>
          <cell r="F194" t="str">
            <v>Gerència de Recursos</v>
          </cell>
          <cell r="G194" t="str">
            <v>Gerència de Recursos</v>
          </cell>
          <cell r="H194" t="str">
            <v>Atenció al Ciutadà</v>
          </cell>
          <cell r="I194" t="str">
            <v>ANÀLISI DE DADES I REPORTING</v>
          </cell>
          <cell r="J194" t="str">
            <v>ANÀLISI DE DADES I REPORTING</v>
          </cell>
        </row>
        <row r="195">
          <cell r="A195" t="str">
            <v>SER0197</v>
          </cell>
          <cell r="B195" t="str">
            <v>Sistema d'Explotació de dades i reporting del IBE</v>
          </cell>
          <cell r="C195" t="str">
            <v>GONZALEZ GARCIA, SUSANA</v>
          </cell>
          <cell r="D195" t="str">
            <v>LLUCH LOPEZ, JAIME</v>
          </cell>
          <cell r="E195" t="str">
            <v>LLUCH LOPEZ, JAIME</v>
          </cell>
          <cell r="F195" t="str">
            <v>Gerència de Qualitat de Vida, Igualtat i Esports</v>
          </cell>
          <cell r="G195" t="str">
            <v>Gerència de Drets de Ciutadania, Participació i Transpàrencia</v>
          </cell>
          <cell r="H195" t="str">
            <v>Anàlisi de dades i Reporting</v>
          </cell>
          <cell r="I195" t="str">
            <v>ANÀLISI DE DADES I REPORTING</v>
          </cell>
          <cell r="J195" t="str">
            <v>ANÀLISI DE DADES I REPORTING</v>
          </cell>
        </row>
        <row r="196">
          <cell r="A196" t="str">
            <v>SERXIBE</v>
          </cell>
          <cell r="B196" t="str">
            <v>Pla IBE</v>
          </cell>
          <cell r="C196" t="str">
            <v>MARCILLAS RIERA, SILVIA</v>
          </cell>
          <cell r="D196" t="str">
            <v>LLUCH LOPEZ, JAIME</v>
          </cell>
          <cell r="E196" t="str">
            <v>ROCA VILALTA, XAVIER</v>
          </cell>
          <cell r="F196" t="str">
            <v>Gerència de Qualitat de Vida, Igualtat i Esports</v>
          </cell>
          <cell r="G196" t="str">
            <v>Gerència de Drets de Ciutadania, Participació i Transpàrencia</v>
          </cell>
          <cell r="H196" t="str">
            <v>Anàlisi de dades i Reporting</v>
          </cell>
          <cell r="I196" t="str">
            <v>DRETS CIUTADANIA, PARTICIPACIÓ I TRANSPARÈNCIA</v>
          </cell>
          <cell r="J196" t="str">
            <v>ANÀLISI DE DADES I REPORTING</v>
          </cell>
        </row>
        <row r="197">
          <cell r="A197" t="str">
            <v>SER0198</v>
          </cell>
          <cell r="B197" t="str">
            <v>Serveis professionals Anàlisi i Reporting</v>
          </cell>
          <cell r="C197" t="str">
            <v>LLUCH LOPEZ, JAIME</v>
          </cell>
          <cell r="D197" t="str">
            <v>LLUCH LOPEZ, JAIME</v>
          </cell>
          <cell r="E197" t="str">
            <v>LLUCH LOPEZ, JAIME</v>
          </cell>
          <cell r="F197" t="str">
            <v>Gerència Municipal</v>
          </cell>
          <cell r="G197" t="str">
            <v>Gerència Municipal</v>
          </cell>
          <cell r="H197" t="str">
            <v>Anàlisi de dades i Reporting</v>
          </cell>
          <cell r="I197" t="str">
            <v>ANÀLISI DE DADES I REPORTING</v>
          </cell>
          <cell r="J197" t="str">
            <v>ANÀLISI DE DADES I REPORTING</v>
          </cell>
        </row>
        <row r="198">
          <cell r="A198" t="str">
            <v>SER0201</v>
          </cell>
          <cell r="B198" t="str">
            <v>DWH Sonòmetres</v>
          </cell>
          <cell r="C198" t="str">
            <v>LOPEZ JALLE, JOSE RAMON</v>
          </cell>
          <cell r="D198" t="str">
            <v>LLUCH LOPEZ, JAIME</v>
          </cell>
          <cell r="E198" t="str">
            <v>LLUCH LOPEZ, JAIME</v>
          </cell>
          <cell r="F198" t="str">
            <v>Gerència d'Hàbitat Urbà</v>
          </cell>
          <cell r="G198" t="str">
            <v>Gerència Ecologia Urbana</v>
          </cell>
          <cell r="H198" t="str">
            <v>Anàlisi de dades i Reporting</v>
          </cell>
          <cell r="I198" t="str">
            <v>ANÀLISI DE DADES I REPORTING</v>
          </cell>
          <cell r="J198" t="str">
            <v>ANÀLISI DE DADES I REPORTING</v>
          </cell>
        </row>
        <row r="199">
          <cell r="A199" t="str">
            <v>SER0203</v>
          </cell>
          <cell r="B199" t="str">
            <v>PCM Comptabilitat de Costos ABC</v>
          </cell>
          <cell r="C199" t="str">
            <v>MARCH COROMINAS, MERCEDES</v>
          </cell>
          <cell r="D199" t="str">
            <v>CASTRO MORAL, LLUIS</v>
          </cell>
          <cell r="E199" t="str">
            <v>TORTOLA FERNANDEZ, JOSE A.</v>
          </cell>
          <cell r="F199" t="str">
            <v>Gerència d'Economia, Empresa i Ocupació</v>
          </cell>
          <cell r="G199" t="str">
            <v>Gerència de Presidència i Economia</v>
          </cell>
          <cell r="H199" t="str">
            <v>Gestió Econòmico-Financera</v>
          </cell>
          <cell r="I199" t="str">
            <v>PRESIDÈNCIA I ECONOMIA</v>
          </cell>
          <cell r="J199" t="str">
            <v>PRESIDÈNCIA I ECONOMIA</v>
          </cell>
        </row>
        <row r="200">
          <cell r="A200" t="str">
            <v>SER0204</v>
          </cell>
          <cell r="B200" t="str">
            <v>Gestió d'Actius</v>
          </cell>
          <cell r="C200" t="str">
            <v>LILLO ESPINOSA, ENRIQUE</v>
          </cell>
          <cell r="D200" t="str">
            <v>SANTAMARIA PEREZ, GLORIA</v>
          </cell>
          <cell r="E200" t="str">
            <v>SANTAMARIA PEREZ, GLORIA</v>
          </cell>
          <cell r="G200" t="str">
            <v>Gerència de Recursos</v>
          </cell>
          <cell r="H200" t="str">
            <v>Gestió Econòmico-Financera</v>
          </cell>
          <cell r="I200" t="str">
            <v>RECURSOS</v>
          </cell>
          <cell r="J200" t="str">
            <v>RECURSOS I ALCALDIA</v>
          </cell>
        </row>
        <row r="201">
          <cell r="A201" t="str">
            <v>SER0206  </v>
          </cell>
          <cell r="B201" t="str">
            <v>Framework i Serveis Comuns .NET</v>
          </cell>
          <cell r="C201" t="str">
            <v>FERNANDEZ MARTINEZ, ANDRES</v>
          </cell>
          <cell r="D201" t="str">
            <v>LOPEZ BARBERO, RAFAEL</v>
          </cell>
          <cell r="E201" t="str">
            <v>FERNANDEZ MARTINEZ, ANDRES</v>
          </cell>
          <cell r="F201" t="str">
            <v>IMI-TIC</v>
          </cell>
          <cell r="G201" t="str">
            <v>IMI-TIC</v>
          </cell>
          <cell r="H201" t="str">
            <v>Enginyeria, Frameworks i Moduls comuns</v>
          </cell>
          <cell r="I201" t="str">
            <v>ENGINYERIA PROGRAMARI, FRAMEWORKS I MODULS COMUNS</v>
          </cell>
          <cell r="J201" t="str">
            <v>ENGINYERIA PROGRAMARI, FRAMEWORKS I MODULS COMUNS</v>
          </cell>
        </row>
        <row r="202">
          <cell r="A202" t="str">
            <v>SER0207</v>
          </cell>
          <cell r="B202" t="str">
            <v>Serveis Comuns i Integracions SAP</v>
          </cell>
          <cell r="C202" t="str">
            <v>PUIG PONS, XAVIER</v>
          </cell>
          <cell r="D202" t="str">
            <v>LOPEZ BARBERO, RAFAEL</v>
          </cell>
          <cell r="E202" t="str">
            <v>LOPEZ BARBERO, RAFAEL</v>
          </cell>
          <cell r="F202" t="str">
            <v>IMI-TIC</v>
          </cell>
          <cell r="G202" t="str">
            <v>IMI-TIC</v>
          </cell>
          <cell r="H202" t="str">
            <v>Enginyeria, Frameworks i Moduls comuns</v>
          </cell>
          <cell r="I202" t="str">
            <v>ENGINYERIA PROGRAMARI, FRAMEWORKS I MODULS COMUNS</v>
          </cell>
          <cell r="J202" t="str">
            <v>ENGINYERIA PROGRAMARI, FRAMEWORKS I MODULS COMUNS</v>
          </cell>
        </row>
        <row r="203">
          <cell r="A203" t="str">
            <v>SER0208</v>
          </cell>
          <cell r="B203" t="str">
            <v>SAGE XRT Treasury</v>
          </cell>
          <cell r="C203" t="str">
            <v>LILLO ESPINOSA, ENRIQUE</v>
          </cell>
          <cell r="D203" t="str">
            <v>CASTRO MORAL, LLUIS</v>
          </cell>
          <cell r="E203" t="str">
            <v>TORTOLA FERNANDEZ, JOSE A.</v>
          </cell>
          <cell r="F203" t="str">
            <v>Gerència d'Economia, Empresa i Ocupació</v>
          </cell>
          <cell r="G203" t="str">
            <v>Gerència de Presidència i Economia</v>
          </cell>
          <cell r="H203" t="str">
            <v>Gestió Econòmico-Financera</v>
          </cell>
          <cell r="I203" t="str">
            <v>PRESIDÈNCIA I ECONOMIA</v>
          </cell>
          <cell r="J203" t="str">
            <v>PRESIDÈNCIA I ECONOMIA</v>
          </cell>
        </row>
        <row r="204">
          <cell r="A204" t="str">
            <v>SER0212</v>
          </cell>
          <cell r="B204" t="str">
            <v>Sap BPC Pressupostos</v>
          </cell>
          <cell r="C204" t="str">
            <v>CASADEMUNT TORRAS, JAVIER</v>
          </cell>
          <cell r="D204" t="str">
            <v>CASTRO MORAL, LLUIS</v>
          </cell>
          <cell r="E204" t="str">
            <v>TORTOLA FERNANDEZ, JOSE A.</v>
          </cell>
          <cell r="F204" t="str">
            <v>Gerència d'Economia, Empresa i Ocupació</v>
          </cell>
          <cell r="G204" t="str">
            <v>Gerència de Presidència i Economia</v>
          </cell>
          <cell r="H204" t="str">
            <v>Gestió Econòmico-Financera</v>
          </cell>
          <cell r="I204" t="str">
            <v>PRESIDÈNCIA I ECONOMIA</v>
          </cell>
          <cell r="J204" t="str">
            <v>PRESIDÈNCIA I ECONOMIA</v>
          </cell>
        </row>
        <row r="205">
          <cell r="A205" t="str">
            <v>SER0214</v>
          </cell>
          <cell r="B205" t="str">
            <v>Tècnics de Barri</v>
          </cell>
          <cell r="C205">
            <v>0</v>
          </cell>
          <cell r="D205" t="str">
            <v>TORTOLA FERNANDEZ, JOSE A.</v>
          </cell>
          <cell r="E205" t="str">
            <v>GALLARDO RUEDA, MONTSERRAT</v>
          </cell>
          <cell r="F205" t="str">
            <v>Gerència Adjunta de Coordinació Territorial</v>
          </cell>
          <cell r="G205" t="str">
            <v>Gerència Municipal</v>
          </cell>
          <cell r="H205" t="str">
            <v>Espai Urbà</v>
          </cell>
          <cell r="I205" t="str">
            <v>ECOLOGIA URBANA. URBANISME</v>
          </cell>
          <cell r="J205" t="str">
            <v>GERENCIA MPAL, OCUPACIÓ I DISTRICTES</v>
          </cell>
        </row>
        <row r="206">
          <cell r="A206" t="str">
            <v>SER0250</v>
          </cell>
          <cell r="B206" t="str">
            <v>Gestor d'Integracions (GdI)</v>
          </cell>
          <cell r="C206" t="str">
            <v>ALEMANY SERRA, FRANCESC</v>
          </cell>
          <cell r="D206" t="str">
            <v>TRIAS JUNCOSA, JAUME</v>
          </cell>
          <cell r="E206" t="str">
            <v>TRIAS JUNCOSA, JAUME</v>
          </cell>
          <cell r="F206" t="str">
            <v>IMI-IDB</v>
          </cell>
          <cell r="G206" t="str">
            <v>IMI-TIC</v>
          </cell>
          <cell r="H206" t="str">
            <v>Atenció al Ciutadà</v>
          </cell>
          <cell r="I206" t="str">
            <v>IMI - IDB</v>
          </cell>
          <cell r="J206" t="str">
            <v>IMI - IDB</v>
          </cell>
        </row>
        <row r="207">
          <cell r="A207" t="str">
            <v>SER0251</v>
          </cell>
          <cell r="B207" t="str">
            <v>Plataforma Sentilo</v>
          </cell>
          <cell r="C207" t="str">
            <v>CASAUS BARREDA, FRANCESC</v>
          </cell>
          <cell r="D207" t="str">
            <v>CIRERA GONZALEZ, JORDI</v>
          </cell>
          <cell r="E207" t="str">
            <v>CIRERA GONZALEZ, JORDI</v>
          </cell>
          <cell r="F207" t="str">
            <v>Gerència d'Hàbitat Urbà</v>
          </cell>
          <cell r="G207" t="str">
            <v>Gerència Ecologia Urbana</v>
          </cell>
          <cell r="H207" t="str">
            <v>sCity</v>
          </cell>
          <cell r="I207" t="str">
            <v>ECOLOGIA URBANA. URBANISME</v>
          </cell>
          <cell r="J207" t="str">
            <v>ECOLOGIA URBANA. URBANISME</v>
          </cell>
        </row>
        <row r="208">
          <cell r="A208" t="str">
            <v>SER0253</v>
          </cell>
          <cell r="B208" t="str">
            <v>Opendata</v>
          </cell>
          <cell r="C208" t="str">
            <v>FIGOLS PUIGBO, M MERCE</v>
          </cell>
          <cell r="D208" t="str">
            <v>ROCA VILALTA, XAVIER</v>
          </cell>
          <cell r="E208" t="str">
            <v>SANZ MARCO, LLUIS</v>
          </cell>
          <cell r="F208" t="str">
            <v>Recursos</v>
          </cell>
          <cell r="G208" t="str">
            <v>Gerència de Recursos</v>
          </cell>
          <cell r="H208" t="str">
            <v>DTI</v>
          </cell>
          <cell r="I208" t="str">
            <v>INFORMACIÓ DE BASE</v>
          </cell>
          <cell r="J208" t="str">
            <v>DTI</v>
          </cell>
        </row>
        <row r="209">
          <cell r="A209" t="str">
            <v>SER0254</v>
          </cell>
          <cell r="B209" t="str">
            <v>CRM</v>
          </cell>
          <cell r="C209" t="str">
            <v>MARCILLAS RIERA, SILVIA</v>
          </cell>
          <cell r="D209" t="str">
            <v>TRIAS JUNCOSA, JAUME</v>
          </cell>
          <cell r="E209" t="str">
            <v>ROCA VILALTA, XAVIER</v>
          </cell>
          <cell r="F209" t="str">
            <v>Gerència de Recursos</v>
          </cell>
          <cell r="G209" t="str">
            <v>Gerència de Drets de Ciutadania, Participació i Transpàrencia</v>
          </cell>
          <cell r="H209" t="str">
            <v>Atenció al Ciutadà</v>
          </cell>
          <cell r="I209" t="str">
            <v>DRETS CIUTADANIA, PARTICIPACIÓ I TRANSPARÈNCIA</v>
          </cell>
          <cell r="J209" t="str">
            <v>DRETS CIUTADANIA, PARTICIPACIÓ I TRANSPARÈNCIA</v>
          </cell>
        </row>
        <row r="210">
          <cell r="A210" t="str">
            <v>SER0260</v>
          </cell>
          <cell r="B210" t="str">
            <v>Gestor de tiquets de la OAC - Orchestra</v>
          </cell>
          <cell r="C210" t="str">
            <v>MARCILLAS RIERA, SILVIA</v>
          </cell>
          <cell r="D210" t="str">
            <v>TRIAS JUNCOSA, JAUME</v>
          </cell>
          <cell r="E210" t="str">
            <v>ROCA VILALTA, XAVIER</v>
          </cell>
          <cell r="F210" t="str">
            <v>Gerència de Recursos</v>
          </cell>
          <cell r="G210" t="str">
            <v>Gerència de Drets de Ciutadania, Participació i Transpàrencia</v>
          </cell>
          <cell r="H210" t="str">
            <v>Atenció al Ciutadà</v>
          </cell>
          <cell r="I210" t="str">
            <v>DRETS CIUTADANIA, PARTICIPACIÓ I TRANSPARÈNCIA</v>
          </cell>
          <cell r="J210" t="str">
            <v>DRETS CIUTADANIA, PARTICIPACIÓ I TRANSPARÈNCIA</v>
          </cell>
        </row>
        <row r="211">
          <cell r="A211" t="str">
            <v>SER0265</v>
          </cell>
          <cell r="B211" t="str">
            <v>Eines de Gestió de Peticions</v>
          </cell>
          <cell r="C211" t="str">
            <v>LILLO ESPINOSA, ROSA M.</v>
          </cell>
          <cell r="D211" t="str">
            <v>LAGE HUERTAS, JOSE</v>
          </cell>
          <cell r="E211" t="str">
            <v>LAGE HUERTAS, JOSE</v>
          </cell>
          <cell r="F211" t="str">
            <v>Gerència Adjunta de Coordinació Territorial</v>
          </cell>
          <cell r="G211" t="str">
            <v>IMI-TIC</v>
          </cell>
          <cell r="H211" t="str">
            <v>IMI-TIC</v>
          </cell>
          <cell r="I211" t="str">
            <v>SMO - Gestió de Serveis</v>
          </cell>
          <cell r="J211" t="str">
            <v>GERENCIA MPAL, OCUPACIÓ I DISTRICTES</v>
          </cell>
        </row>
        <row r="212">
          <cell r="A212" t="str">
            <v>SER0266</v>
          </cell>
          <cell r="B212" t="str">
            <v>Nomenclator Infraccions</v>
          </cell>
          <cell r="C212" t="str">
            <v>VENTURA AIXA, INMACULADA</v>
          </cell>
          <cell r="D212" t="str">
            <v>TORTOLA FERNANDEZ, JOSE A.</v>
          </cell>
          <cell r="E212" t="str">
            <v>GALLARDO RUEDA, MONTSERRAT</v>
          </cell>
          <cell r="F212" t="str">
            <v>Gerència Adjunta de Coordinació Territorial</v>
          </cell>
          <cell r="G212" t="str">
            <v>Gerència Municipal</v>
          </cell>
          <cell r="H212" t="str">
            <v>Espai Urbà</v>
          </cell>
          <cell r="I212" t="str">
            <v>GERENCIA MPAL, OCUPACIÓ I DISTRICTES</v>
          </cell>
          <cell r="J212" t="str">
            <v>GERENCIA MPAL, OCUPACIÓ I DISTRICTES</v>
          </cell>
        </row>
        <row r="213">
          <cell r="A213" t="str">
            <v>SER0267</v>
          </cell>
          <cell r="B213" t="str">
            <v>DRC</v>
          </cell>
          <cell r="C213" t="str">
            <v>FLORES GONZALEZ, MIRIAM</v>
          </cell>
          <cell r="D213" t="str">
            <v>LLUCH LOPEZ, JAIME</v>
          </cell>
          <cell r="E213" t="str">
            <v>LLUCH LOPEZ, JAIME</v>
          </cell>
          <cell r="F213" t="str">
            <v>Gerència d'Economia, Empresa i Ocupació</v>
          </cell>
          <cell r="G213" t="str">
            <v>Gerència de Ocupació, Empresa i Turisme</v>
          </cell>
          <cell r="H213" t="str">
            <v>Anàlisi de dades i Reporting</v>
          </cell>
          <cell r="I213" t="str">
            <v>ANÀLISI DE DADES I REPORTING</v>
          </cell>
          <cell r="J213" t="str">
            <v>ANÀLISI DE DADES I REPORTING</v>
          </cell>
        </row>
        <row r="214">
          <cell r="A214" t="str">
            <v>SER0271</v>
          </cell>
          <cell r="B214" t="str">
            <v>DWH Llicències</v>
          </cell>
          <cell r="C214">
            <v>0</v>
          </cell>
          <cell r="D214" t="str">
            <v>LLUCH LOPEZ, JAIME</v>
          </cell>
          <cell r="E214" t="str">
            <v>LLUCH LOPEZ, JAIME</v>
          </cell>
          <cell r="F214" t="str">
            <v>Gerència Adjunta de Coordinació Territorial</v>
          </cell>
          <cell r="G214" t="str">
            <v>Gerència Municipal</v>
          </cell>
          <cell r="H214" t="str">
            <v>Anàlisi de dades i Reporting</v>
          </cell>
          <cell r="I214" t="str">
            <v>ANÀLISI DE DADES I REPORTING</v>
          </cell>
          <cell r="J214" t="str">
            <v>ANÀLISI DE DADES I REPORTING</v>
          </cell>
        </row>
        <row r="215">
          <cell r="A215" t="str">
            <v>SER0273</v>
          </cell>
          <cell r="B215" t="str">
            <v>Aladdin</v>
          </cell>
          <cell r="C215" t="str">
            <v>MARCILLAS RIERA, SILVIA</v>
          </cell>
          <cell r="D215" t="str">
            <v>ROCA VILALTA, XAVIER</v>
          </cell>
          <cell r="E215" t="str">
            <v>MARCILLAS RIERA, SILVIA</v>
          </cell>
          <cell r="F215" t="str">
            <v>Gerència de Recursos</v>
          </cell>
          <cell r="G215" t="str">
            <v>Gerència de Recursos</v>
          </cell>
          <cell r="H215" t="str">
            <v>DTI</v>
          </cell>
          <cell r="I215" t="str">
            <v>DRETS CIUTADANIA, PARTICIPACIÓ I TRANSPARÈNCIA</v>
          </cell>
          <cell r="J215" t="str">
            <v>DTI</v>
          </cell>
        </row>
        <row r="216">
          <cell r="A216" t="str">
            <v>SER0274</v>
          </cell>
          <cell r="B216" t="str">
            <v>Eina EasyVista</v>
          </cell>
          <cell r="C216" t="str">
            <v>SENTIS ORTIZ, JOAN</v>
          </cell>
          <cell r="D216" t="str">
            <v>LAGE HUERTAS, JOSE</v>
          </cell>
          <cell r="E216" t="str">
            <v>LAGE HUERTAS, JOSE</v>
          </cell>
          <cell r="F216" t="str">
            <v>Gerència de Cultura, Coneixement, Creativitat i Innovació</v>
          </cell>
          <cell r="G216" t="str">
            <v>IMI-TIC</v>
          </cell>
          <cell r="H216" t="str">
            <v>Anàlisi de dades i Reporting</v>
          </cell>
          <cell r="I216" t="str">
            <v>SMO - Gestió de Serveis</v>
          </cell>
          <cell r="J216" t="str">
            <v>SMO - Gestió de Serveis</v>
          </cell>
        </row>
        <row r="217">
          <cell r="A217" t="str">
            <v>SER0274</v>
          </cell>
          <cell r="B217" t="str">
            <v>Eina EasyVista</v>
          </cell>
          <cell r="C217" t="str">
            <v>SENTIS ORTIZ, JOAN</v>
          </cell>
          <cell r="D217" t="str">
            <v>LAGE HUERTAS, JOSE</v>
          </cell>
          <cell r="E217" t="str">
            <v>LAGE HUERTAS, JOSE</v>
          </cell>
          <cell r="G217" t="str">
            <v>IMI-TIC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>SER0281</v>
          </cell>
          <cell r="B218" t="str">
            <v>Plataforma J2EE WAS</v>
          </cell>
          <cell r="C218" t="str">
            <v>SOLER ORTIZ, RUBEN</v>
          </cell>
          <cell r="D218" t="str">
            <v>SOLER ORTIZ, RUBEN  </v>
          </cell>
          <cell r="E218" t="str">
            <v>SOLER ORTIZ, RUBEN</v>
          </cell>
          <cell r="F218" t="str">
            <v>IM-TIC</v>
          </cell>
          <cell r="G218" t="str">
            <v>IMI-TIC</v>
          </cell>
          <cell r="H218" t="str">
            <v>Enginyeria, Frameworks i Moduls comuns</v>
          </cell>
          <cell r="I218" t="str">
            <v>CPD</v>
          </cell>
          <cell r="J218" t="str">
            <v>ENGINYERIA PROGRAMARI, FRAMEWORKS I MODULS COMUNS</v>
          </cell>
        </row>
        <row r="219">
          <cell r="A219" t="str">
            <v>SER0283</v>
          </cell>
          <cell r="B219" t="str">
            <v>CityDB</v>
          </cell>
          <cell r="C219" t="str">
            <v>LLUCH LOPEZ, JAIME</v>
          </cell>
          <cell r="D219" t="str">
            <v>LLUCH LOPEZ, JAIME</v>
          </cell>
          <cell r="E219" t="str">
            <v>LLUCH LOPEZ, JAIME</v>
          </cell>
          <cell r="F219" t="str">
            <v>Gerència Adjunta de Coordinació Territorial</v>
          </cell>
          <cell r="G219" t="str">
            <v>Gerència Municipal</v>
          </cell>
          <cell r="H219" t="str">
            <v>Anàlisi de dades i Reporting</v>
          </cell>
          <cell r="I219" t="str">
            <v>ANÀLISI DE DADES I REPORTING</v>
          </cell>
          <cell r="J219" t="str">
            <v>ANÀLISI DE DADES I REPORTING</v>
          </cell>
        </row>
        <row r="220">
          <cell r="A220" t="str">
            <v>SER0284</v>
          </cell>
          <cell r="B220" t="str">
            <v>Binotes</v>
          </cell>
          <cell r="C220" t="str">
            <v>ORTIZ QUINTANA, IVAN</v>
          </cell>
          <cell r="D220" t="str">
            <v>LLUCH LOPEZ, JAIME</v>
          </cell>
          <cell r="E220" t="str">
            <v>LLUCH LOPEZ, JAIME</v>
          </cell>
          <cell r="F220" t="str">
            <v>Gerència Adjunta de Coordinació Territorial</v>
          </cell>
          <cell r="G220" t="str">
            <v>Gerència Municipal</v>
          </cell>
          <cell r="H220" t="str">
            <v>Anàlisi de dades i Reporting</v>
          </cell>
          <cell r="I220" t="str">
            <v>ANÀLISI DE DADES I REPORTING</v>
          </cell>
          <cell r="J220" t="str">
            <v>Anàlisi de dades i Reporting</v>
          </cell>
        </row>
        <row r="221">
          <cell r="A221" t="str">
            <v>SER0291</v>
          </cell>
          <cell r="B221" t="str">
            <v>Seu Electrònica</v>
          </cell>
          <cell r="C221" t="str">
            <v>GONZALEZ GARCIA, SUSANA</v>
          </cell>
          <cell r="D221" t="str">
            <v>ROCA VILALTA, XAVIER</v>
          </cell>
          <cell r="E221" t="str">
            <v>SANTAMARIA PEREZ, GLORIA</v>
          </cell>
          <cell r="F221" t="str">
            <v>Gerència de Recursos</v>
          </cell>
          <cell r="G221" t="str">
            <v>Gerència de Recursos</v>
          </cell>
          <cell r="H221" t="str">
            <v>DTI</v>
          </cell>
          <cell r="I221" t="str">
            <v>RECURSOS</v>
          </cell>
          <cell r="J221" t="str">
            <v>DTI</v>
          </cell>
        </row>
        <row r="222">
          <cell r="A222" t="str">
            <v>SER0292</v>
          </cell>
          <cell r="B222" t="str">
            <v>Gestió d’Actius d’Hàbitat Urbà</v>
          </cell>
          <cell r="C222" t="str">
            <v>BOBIS VALERIO, JUAN</v>
          </cell>
          <cell r="D222" t="str">
            <v>TORTOLA FERNANDEZ, JOSE A.</v>
          </cell>
          <cell r="E222" t="str">
            <v>GUILLEN BELLIDO, JOSÉ MIGUEL</v>
          </cell>
          <cell r="F222" t="str">
            <v>Gerència d'Hàbitat Urbà</v>
          </cell>
          <cell r="G222" t="str">
            <v>Gerència Ecologia Urbana</v>
          </cell>
          <cell r="H222" t="str">
            <v>Espai Urbà</v>
          </cell>
          <cell r="I222" t="str">
            <v>ECOLOGIA URBANA. URBANISME</v>
          </cell>
          <cell r="J222" t="str">
            <v>ECOLOGIA URBANA. URBANISME</v>
          </cell>
        </row>
        <row r="223">
          <cell r="A223" t="str">
            <v>SER0296</v>
          </cell>
          <cell r="B223" t="str">
            <v>Gestió pressupost SAP</v>
          </cell>
          <cell r="C223" t="str">
            <v>RODRIGUEZ PASCUAL, M. LUISA</v>
          </cell>
          <cell r="D223" t="str">
            <v>PUY CASTELLS, JOSEP</v>
          </cell>
          <cell r="E223" t="str">
            <v>PUY CASTELLS, JOSEP</v>
          </cell>
          <cell r="F223" t="str">
            <v>Gerència de Recursos Humans i Organització</v>
          </cell>
          <cell r="G223" t="str">
            <v>Gerència de Recursos Humans i Organització</v>
          </cell>
          <cell r="H223" t="str">
            <v>Recursos Humans</v>
          </cell>
          <cell r="I223" t="str">
            <v>RRHH I ORGANITZACIÓ</v>
          </cell>
          <cell r="J223" t="str">
            <v>RRHH I ORGANITZACIÓ</v>
          </cell>
        </row>
        <row r="224">
          <cell r="A224" t="str">
            <v>SER0297</v>
          </cell>
          <cell r="B224" t="str">
            <v>Nòmines SIP</v>
          </cell>
          <cell r="C224" t="str">
            <v>VARELA PINART, GEMMA</v>
          </cell>
          <cell r="D224" t="str">
            <v>PUY CASTELLS, JOSEP</v>
          </cell>
          <cell r="E224" t="str">
            <v>PUY CASTELLS, JOSEP</v>
          </cell>
          <cell r="F224" t="str">
            <v>Gerència de Recursos Humans i Organització</v>
          </cell>
          <cell r="G224" t="str">
            <v>Gerència de Recursos Humans i Organització</v>
          </cell>
          <cell r="H224" t="str">
            <v>Recursos Humans</v>
          </cell>
          <cell r="I224" t="str">
            <v>RRHH I ORGANITZACIÓ</v>
          </cell>
          <cell r="J224" t="str">
            <v>RRHH I ORGANITZACIÓ</v>
          </cell>
        </row>
        <row r="225">
          <cell r="A225" t="str">
            <v>SER0299</v>
          </cell>
          <cell r="B225" t="str">
            <v>Servei Aplicacions Mobils</v>
          </cell>
          <cell r="C225" t="str">
            <v>LOPEZ MARTINEZ, XAVIER</v>
          </cell>
          <cell r="D225" t="str">
            <v>ROCA VILALTA, XAVIER</v>
          </cell>
          <cell r="E225" t="str">
            <v>COMAPOSADA MARTI, MONTSERRAT</v>
          </cell>
          <cell r="F225" t="str">
            <v>Gerència de Recursos</v>
          </cell>
          <cell r="G225" t="str">
            <v>Gerència de Recursos</v>
          </cell>
          <cell r="H225" t="str">
            <v>DTI</v>
          </cell>
          <cell r="I225" t="str">
            <v>INTERNET I CANALS</v>
          </cell>
          <cell r="J225" t="str">
            <v>DRETS CIUTADANIA, PARTICIPACIÓ I TRANSPARÈNCIA</v>
          </cell>
        </row>
        <row r="226">
          <cell r="A226" t="str">
            <v>SER0300</v>
          </cell>
          <cell r="B226" t="str">
            <v>OMIC/JAC</v>
          </cell>
          <cell r="C226" t="str">
            <v>DOMINGUEZ MANCERA, MIGUEL</v>
          </cell>
          <cell r="D226" t="str">
            <v>TORTOLA FERNANDEZ, JOSE A.</v>
          </cell>
          <cell r="E226" t="str">
            <v>TORTOLA FERNANDEZ, JOSE A.</v>
          </cell>
          <cell r="F226" t="str">
            <v>Gerència d'Economia, Empresa i Ocupació</v>
          </cell>
          <cell r="G226" t="str">
            <v>Gerència de Ocupació, Empresa i Turisme</v>
          </cell>
          <cell r="H226" t="str">
            <v>Secretaria, Administració General i Gestió Documental</v>
          </cell>
          <cell r="I226" t="str">
            <v>GERENCIA MPAL, OCUPACIÓ I DISTRICTES</v>
          </cell>
          <cell r="J226" t="str">
            <v>GERENCIA MPAL, OCUPACIÓ I DISTRICTES</v>
          </cell>
        </row>
        <row r="227">
          <cell r="A227" t="str">
            <v>SER0303</v>
          </cell>
          <cell r="B227" t="str">
            <v>Middleware mobilitat</v>
          </cell>
          <cell r="C227" t="str">
            <v>ALMATO GUITERAS, GLORIA</v>
          </cell>
          <cell r="D227" t="str">
            <v>ROCA VILALTA, XAVIER</v>
          </cell>
          <cell r="E227" t="str">
            <v>COMAPOSADA MARTI, MONTSERRAT</v>
          </cell>
          <cell r="F227" t="str">
            <v>Gerencia d’Ecologia Urbana</v>
          </cell>
          <cell r="G227" t="str">
            <v>Gerència de Drets de Ciutadania, Participació i Transpàrencia</v>
          </cell>
          <cell r="H227" t="str">
            <v>DTI</v>
          </cell>
          <cell r="I227" t="str">
            <v>INTERNET I CANALS</v>
          </cell>
          <cell r="J227" t="str">
            <v>DTI</v>
          </cell>
        </row>
        <row r="228">
          <cell r="A228" t="str">
            <v>SER0366</v>
          </cell>
          <cell r="B228" t="str">
            <v>Platafroma de participació</v>
          </cell>
          <cell r="C228" t="str">
            <v>ALMATO GUITERAS, GLORIA</v>
          </cell>
          <cell r="D228" t="str">
            <v>ROCA VILALTA, XAVIER</v>
          </cell>
          <cell r="E228" t="e">
            <v>#N/A</v>
          </cell>
          <cell r="F228" t="str">
            <v>Gerència  de Drets Socials, participació i transparència</v>
          </cell>
          <cell r="G228" t="str">
            <v>Gerència  de Drets Socials, participació i transparència</v>
          </cell>
          <cell r="H228" t="str">
            <v>DTI</v>
          </cell>
          <cell r="I228" t="e">
            <v>#N/A</v>
          </cell>
          <cell r="J228" t="str">
            <v>DTI</v>
          </cell>
        </row>
        <row r="229">
          <cell r="A229" t="str">
            <v>SER0368</v>
          </cell>
          <cell r="B229" t="str">
            <v>Contactless</v>
          </cell>
          <cell r="C229" t="str">
            <v>LOPEZ MARTINEZ, XAVIER</v>
          </cell>
          <cell r="D229" t="str">
            <v>ROCA VILALTA, XAVIER</v>
          </cell>
          <cell r="E229" t="str">
            <v>MARCILLAS RIERA, SILVIA</v>
          </cell>
          <cell r="F229" t="str">
            <v>Gerència de Recursos</v>
          </cell>
          <cell r="G229" t="str">
            <v>Gerència de Recursos</v>
          </cell>
          <cell r="H229">
            <v>0</v>
          </cell>
          <cell r="I229" t="str">
            <v>DRETS CIUTADANIA, PARTICIPACIÓ I TRANSPARÈNCIA</v>
          </cell>
          <cell r="J229">
            <v>0</v>
          </cell>
        </row>
        <row r="230">
          <cell r="A230" t="str">
            <v>SER0371</v>
          </cell>
          <cell r="B230" t="str">
            <v>WIKI de Qualitat i Arquitectura</v>
          </cell>
          <cell r="C230" t="str">
            <v>ORTIZ QUINTANA, IVAN</v>
          </cell>
          <cell r="D230" t="str">
            <v>LOPEZ BARBERO, RAFAEL</v>
          </cell>
          <cell r="E230" t="str">
            <v>LOPEZ BARBERO, RAFAEL</v>
          </cell>
          <cell r="F230">
            <v>0</v>
          </cell>
          <cell r="G230" t="str">
            <v>IMI-TIC</v>
          </cell>
          <cell r="H230" t="str">
            <v>Enginyeria, Frameworks i Moduls comuns</v>
          </cell>
          <cell r="I230" t="str">
            <v>ENGINYERIA PROGRAMARI, FRAMEWORKS I MODULS COMUNS</v>
          </cell>
          <cell r="J230" t="str">
            <v>ENGINYERIA PROGRAMARI, FRAMEWORKS I MODULS COMUNS</v>
          </cell>
        </row>
        <row r="231">
          <cell r="A231" t="str">
            <v>SER0372</v>
          </cell>
          <cell r="B231" t="str">
            <v>eArxiu i Gestió Documental</v>
          </cell>
          <cell r="C231" t="str">
            <v>CAPELLA MINGUELL, ROSA M.</v>
          </cell>
          <cell r="D231" t="str">
            <v>CAPELLA MINGUELL, ROSA M.</v>
          </cell>
          <cell r="E231" t="str">
            <v>CAPELLA MINGUELL, ROSA M.</v>
          </cell>
          <cell r="F231">
            <v>0</v>
          </cell>
          <cell r="G231" t="str">
            <v>Gerència de Recursos</v>
          </cell>
          <cell r="H231" t="str">
            <v>Secretaria, Administració General i Gestió Documental</v>
          </cell>
          <cell r="I231" t="str">
            <v>REGISTRE, ARXIU I GESTIÓ DOCUMENTAL</v>
          </cell>
          <cell r="J231" t="str">
            <v>REGISTRE, ARXIU I GESTIÓ DOCUMENTAL</v>
          </cell>
        </row>
        <row r="232">
          <cell r="A232" t="str">
            <v>SER0373</v>
          </cell>
          <cell r="B232" t="str">
            <v>Estudis d'Opinió</v>
          </cell>
          <cell r="C232" t="str">
            <v>GALLARDO RUEDA, MONTSERRAT</v>
          </cell>
          <cell r="D232" t="str">
            <v>CAPELLA MINGUELL, ROSA M.</v>
          </cell>
          <cell r="E232" t="str">
            <v>GALLARDO RUEDA, MONTSERRAT</v>
          </cell>
          <cell r="F232">
            <v>0</v>
          </cell>
          <cell r="G232" t="str">
            <v>Gerència de Presidència i Economia</v>
          </cell>
          <cell r="H232" t="str">
            <v>Secretaria, Administració General i Gestió Documental</v>
          </cell>
          <cell r="I232" t="str">
            <v>GERENCIA MPAL, OCUPACIÓ I DISTRICTES</v>
          </cell>
          <cell r="J232" t="str">
            <v>GERENCIA MPAL, OCUPACIÓ I DISTRICTES</v>
          </cell>
        </row>
        <row r="233">
          <cell r="A233" t="str">
            <v>SER0393</v>
          </cell>
          <cell r="B233" t="str">
            <v>Vincles</v>
          </cell>
          <cell r="C233" t="str">
            <v>BOIX RODRIGUEZ, JORDI</v>
          </cell>
          <cell r="D233" t="str">
            <v>BOIX RODRIGUEZ, JORDI</v>
          </cell>
          <cell r="E233" t="str">
            <v>BOIX RODRIGUEZ, JORDI</v>
          </cell>
          <cell r="F233" t="str">
            <v>Gerència de Qualitat de Vida, Igualtat i Esports</v>
          </cell>
          <cell r="G233" t="str">
            <v>Gerència de Drets Socials</v>
          </cell>
          <cell r="H233" t="str">
            <v>Atenció a les Persones</v>
          </cell>
          <cell r="I233" t="str">
            <v>DRETS SOCIALS</v>
          </cell>
          <cell r="J233" t="str">
            <v>DRETS SOCIALS</v>
          </cell>
        </row>
        <row r="234">
          <cell r="A234" t="str">
            <v>SER0394</v>
          </cell>
          <cell r="B234" t="str">
            <v>Tambor</v>
          </cell>
          <cell r="C234" t="str">
            <v>DOMINGUEZ MANCERA, MIGUEL</v>
          </cell>
          <cell r="D234" t="str">
            <v>CAPELLA MINGUELL, ROSA M.</v>
          </cell>
          <cell r="E234" t="str">
            <v>GALLARDO RUEDA, MONTSERRAT</v>
          </cell>
          <cell r="F234" t="str">
            <v>Gerència de Recursos</v>
          </cell>
          <cell r="G234" t="str">
            <v>Gerència Municipal</v>
          </cell>
          <cell r="H234" t="str">
            <v>Secretaria, Administració General i Gestió Documental</v>
          </cell>
          <cell r="I234" t="str">
            <v>GERENCIA MPAL, OCUPACIÓ I DISTRICTES</v>
          </cell>
          <cell r="J234" t="str">
            <v>RECURSOS I ALCALDIA</v>
          </cell>
        </row>
        <row r="235">
          <cell r="A235" t="str">
            <v>SER0395</v>
          </cell>
          <cell r="B235" t="str">
            <v>Cloud4Cities</v>
          </cell>
          <cell r="C235" t="str">
            <v>BITLLOCH PUIGVERT, JOAN R</v>
          </cell>
          <cell r="D235" t="str">
            <v>TRIAS JUNCOSA, JAUME</v>
          </cell>
          <cell r="E235" t="str">
            <v>BITLLOCH PUIGVERT, JOAN R</v>
          </cell>
          <cell r="F235" t="str">
            <v>Gerència de Recursos</v>
          </cell>
          <cell r="G235" t="str">
            <v>Gerència de Drets de Ciutadania, Participació i Transpàrencia</v>
          </cell>
          <cell r="H235" t="str">
            <v>Atenció al Ciutadà</v>
          </cell>
          <cell r="I235" t="str">
            <v>DRETS CIUTADANIA, PARTICIPACIÓ I TRANSPARÈNCIA</v>
          </cell>
          <cell r="J235" t="str">
            <v>DRETS CIUTADANIA, PARTICIPACIÓ I TRANSPARÈNCIA</v>
          </cell>
        </row>
        <row r="236">
          <cell r="A236" t="str">
            <v>SER0396</v>
          </cell>
          <cell r="B236" t="str">
            <v>Portal d'Informació Urbanística</v>
          </cell>
          <cell r="C236" t="str">
            <v>LLINARES GINER, JAVIER</v>
          </cell>
          <cell r="E236">
            <v>0</v>
          </cell>
          <cell r="G236" t="str">
            <v>Gerència Ecologia Urbana</v>
          </cell>
          <cell r="I236" t="str">
            <v>IMI - IDB</v>
          </cell>
          <cell r="J236" t="str">
            <v>RECURSOS I ALCALDIA</v>
          </cell>
        </row>
        <row r="237">
          <cell r="A237" t="str">
            <v>SER0397</v>
          </cell>
          <cell r="B237" t="str">
            <v>Gestió de relacions amb tercers Drets Ciutadania</v>
          </cell>
          <cell r="C237" t="str">
            <v>ROCA VILALTA, XAVIER</v>
          </cell>
          <cell r="D237" t="str">
            <v>ROCA VILALTA, XAVIER</v>
          </cell>
          <cell r="E237" t="str">
            <v>ROCA VILALTA, XAVIER</v>
          </cell>
          <cell r="F237" t="str">
            <v>Gerència de Recursos</v>
          </cell>
          <cell r="G237" t="str">
            <v>Gerència de Drets de Ciutadania, Participació i Transpàrencia</v>
          </cell>
          <cell r="H237" t="str">
            <v>Atenció al Ciutadà</v>
          </cell>
          <cell r="I237" t="str">
            <v>DRETS CIUTADANIA, PARTICIPACIÓ I TRANSPARÈNCIA</v>
          </cell>
          <cell r="J237" t="str">
            <v>DRETS CIUTADANIA, PARTICIPACIÓ I TRANSPARÈNCIA</v>
          </cell>
        </row>
        <row r="238">
          <cell r="A238" t="str">
            <v>SER0412</v>
          </cell>
          <cell r="B238" t="str">
            <v>Canals d’entrada i sortida de factures</v>
          </cell>
          <cell r="C238" t="str">
            <v>SANTAMARIA PEREZ, GLORIA</v>
          </cell>
          <cell r="D238" t="str">
            <v>CAPELLA MINGUELL, ROSA M.</v>
          </cell>
          <cell r="E238" t="str">
            <v>SANTAMARIA PEREZ, GLORIA</v>
          </cell>
          <cell r="F238" t="str">
            <v>Gerència de Recursos</v>
          </cell>
          <cell r="G238" t="str">
            <v>Gerència de Recursos</v>
          </cell>
          <cell r="H238" t="str">
            <v>Secretaria, Administració General i Gestió Documental</v>
          </cell>
          <cell r="I238" t="str">
            <v>RECURSOS</v>
          </cell>
          <cell r="J238" t="str">
            <v>RECURSOS I ALCALDIA</v>
          </cell>
        </row>
        <row r="239">
          <cell r="A239" t="str">
            <v>SER0413</v>
          </cell>
          <cell r="B239" t="str">
            <v>Gestió Actes de protocol</v>
          </cell>
          <cell r="C239" t="str">
            <v>DOMINGUEZ MANCERA, MIGUEL</v>
          </cell>
          <cell r="D239" t="str">
            <v>CAPELLA MINGUELL, ROSA M.</v>
          </cell>
          <cell r="E239" t="str">
            <v>SANTAMARIA PEREZ, GLORIA</v>
          </cell>
          <cell r="F239" t="str">
            <v>Gerència de Recursos</v>
          </cell>
          <cell r="G239" t="str">
            <v>Gerència de Recursos</v>
          </cell>
          <cell r="H239" t="str">
            <v>Secretaria, Administració General i Gestió Documental</v>
          </cell>
          <cell r="I239" t="str">
            <v>RECURSOS</v>
          </cell>
          <cell r="J239" t="str">
            <v>RECURSOS I ALCALDIA</v>
          </cell>
        </row>
        <row r="240">
          <cell r="A240" t="str">
            <v>SER0414</v>
          </cell>
          <cell r="B240" t="str">
            <v>Gestió Gabinet Alcaldia</v>
          </cell>
          <cell r="C240" t="str">
            <v>DOMINGUEZ MANCERA, MIGUEL</v>
          </cell>
          <cell r="D240" t="str">
            <v>CAPELLA MINGUELL, ROSA M.</v>
          </cell>
          <cell r="E240" t="str">
            <v>SANTAMARIA PEREZ, GLORIA</v>
          </cell>
          <cell r="F240" t="str">
            <v>Gerència de Recursos</v>
          </cell>
          <cell r="G240" t="str">
            <v>Gerència de Recursos</v>
          </cell>
          <cell r="H240" t="str">
            <v>Secretaria, Administració General i Gestió Documental</v>
          </cell>
          <cell r="I240" t="str">
            <v>RECURSOS</v>
          </cell>
          <cell r="J240" t="str">
            <v>RECURSOS I ALCALDIA</v>
          </cell>
        </row>
        <row r="241">
          <cell r="A241" t="str">
            <v>SER0ARQ</v>
          </cell>
          <cell r="B241" t="str">
            <v>Servei Arquitectura BI</v>
          </cell>
          <cell r="C241" t="str">
            <v>LLUCH LOPEZ, JAIME</v>
          </cell>
          <cell r="D241" t="str">
            <v>LLUCH LOPEZ, JAIME</v>
          </cell>
          <cell r="E241" t="e">
            <v>#N/A</v>
          </cell>
          <cell r="F241" t="str">
            <v>Gerència Municipal</v>
          </cell>
          <cell r="G241" t="str">
            <v>Gerència Municipal</v>
          </cell>
          <cell r="H241" t="str">
            <v>Anàlisi de dades i Reporting</v>
          </cell>
          <cell r="I241" t="e">
            <v>#N/A</v>
          </cell>
          <cell r="J241" t="str">
            <v>Anàlisi de dades i Reporting</v>
          </cell>
        </row>
        <row r="242">
          <cell r="A242" t="str">
            <v>SER0CAT</v>
          </cell>
          <cell r="B242" t="str">
            <v>Servei Catàleg Master Data</v>
          </cell>
          <cell r="C242" t="str">
            <v>LLUCH LOPEZ, JAIME</v>
          </cell>
          <cell r="D242" t="str">
            <v>LLUCH LOPEZ, JAIME</v>
          </cell>
          <cell r="E242" t="e">
            <v>#N/A</v>
          </cell>
          <cell r="F242" t="str">
            <v>Gerència Municipal</v>
          </cell>
          <cell r="G242" t="str">
            <v>Gerència Municipal</v>
          </cell>
          <cell r="H242" t="str">
            <v>Anàlisi de dades i Reporting</v>
          </cell>
          <cell r="I242" t="e">
            <v>#N/A</v>
          </cell>
          <cell r="J242" t="str">
            <v>Anàlisi de dades i Reporting</v>
          </cell>
        </row>
        <row r="243">
          <cell r="A243" t="str">
            <v>SER0PRO</v>
          </cell>
          <cell r="B243" t="str">
            <v>Servei prototipatge Reporting</v>
          </cell>
          <cell r="C243" t="str">
            <v>LLUCH LOPEZ, JAIME</v>
          </cell>
          <cell r="D243" t="str">
            <v>LLUCH LOPEZ, JAIME</v>
          </cell>
          <cell r="E243" t="e">
            <v>#N/A</v>
          </cell>
          <cell r="F243" t="str">
            <v>Gerència Municipal</v>
          </cell>
          <cell r="G243" t="str">
            <v>Gerència Municipal</v>
          </cell>
          <cell r="H243" t="str">
            <v>Anàlisi de dades i Reporting</v>
          </cell>
          <cell r="I243" t="e">
            <v>#N/A</v>
          </cell>
          <cell r="J243" t="str">
            <v>Anàlisi de dades i Reporting</v>
          </cell>
        </row>
        <row r="244">
          <cell r="A244" t="str">
            <v>SER0X10</v>
          </cell>
          <cell r="B244" t="str">
            <v xml:space="preserve">Gestió de Projectes </v>
          </cell>
          <cell r="C244" t="str">
            <v>RODRIGUEZ, ALEJANDRO</v>
          </cell>
          <cell r="D244" t="str">
            <v>RODRIGUEZ, ALEJANDRO</v>
          </cell>
          <cell r="E244" t="e">
            <v>#N/A</v>
          </cell>
          <cell r="F244" t="str">
            <v>IMI-TIC</v>
          </cell>
          <cell r="G244" t="str">
            <v>IMI-TIC</v>
          </cell>
          <cell r="H244" t="str">
            <v>PMO</v>
          </cell>
          <cell r="I244" t="e">
            <v>#N/A</v>
          </cell>
          <cell r="J244" t="str">
            <v>PMO</v>
          </cell>
        </row>
        <row r="245">
          <cell r="A245" t="str">
            <v>SER0X11</v>
          </cell>
          <cell r="B245" t="str">
            <v>PSAB</v>
          </cell>
          <cell r="C245" t="str">
            <v>CASAUS BARREDA, FRANCESC</v>
          </cell>
          <cell r="D245" t="str">
            <v>CIRERA GONZALEZ, JORDI</v>
          </cell>
          <cell r="E245" t="e">
            <v>#N/A</v>
          </cell>
          <cell r="F245" t="str">
            <v>Gerència d'Hàbitat Urbà</v>
          </cell>
          <cell r="G245" t="str">
            <v>Gerència Ecologia Urbana</v>
          </cell>
          <cell r="H245" t="str">
            <v>sCity</v>
          </cell>
          <cell r="I245" t="e">
            <v>#N/A</v>
          </cell>
          <cell r="J245" t="str">
            <v>ECOLOGIA URBANA. URBANISME</v>
          </cell>
        </row>
        <row r="246">
          <cell r="A246" t="str">
            <v>SER0X12</v>
          </cell>
          <cell r="B246" t="str">
            <v>per determinar</v>
          </cell>
          <cell r="C246" t="str">
            <v>per determinar</v>
          </cell>
          <cell r="D246" t="str">
            <v>SEIJAS, FERNANDO</v>
          </cell>
          <cell r="E246" t="e">
            <v>#N/A</v>
          </cell>
          <cell r="F246" t="str">
            <v>IMI-IDB</v>
          </cell>
          <cell r="G246" t="str">
            <v>IMI-IDB</v>
          </cell>
          <cell r="H246" t="str">
            <v>IDB-Cartografia</v>
          </cell>
          <cell r="I246" t="e">
            <v>#N/A</v>
          </cell>
          <cell r="J246" t="str">
            <v>IDB-Cartografia</v>
          </cell>
        </row>
        <row r="247">
          <cell r="A247" t="str">
            <v>SER0X23</v>
          </cell>
          <cell r="B247" t="str">
            <v>Reforç serveis Ecologia Urbana</v>
          </cell>
          <cell r="C247" t="str">
            <v>CIRERA GONZALEZ, JORDI</v>
          </cell>
          <cell r="D247" t="str">
            <v>CIRERA GONZALEZ, JORDI</v>
          </cell>
          <cell r="E247" t="str">
            <v>CIRERA GONZALEZ, JORDI</v>
          </cell>
          <cell r="F247" t="str">
            <v>Gerència Ecologia Urbana</v>
          </cell>
          <cell r="G247" t="str">
            <v>Gerència Ecologia Urbana</v>
          </cell>
          <cell r="H247" t="str">
            <v>Espai Urbà</v>
          </cell>
          <cell r="I247" t="str">
            <v>ECOLOGIA URBANA. MEDI AMBIENT I SERVEIS URBANS</v>
          </cell>
          <cell r="J247" t="str">
            <v>ECOLOGIA URBANA. MEDI AMBIENT I SERVEIS URBANS</v>
          </cell>
        </row>
        <row r="248">
          <cell r="A248" t="str">
            <v>SER0X24</v>
          </cell>
          <cell r="B248" t="str">
            <v>Datawarehouse AUTORITAT</v>
          </cell>
          <cell r="C248" t="str">
            <v>SOLA PUY, ALFRED</v>
          </cell>
          <cell r="D248" t="str">
            <v>LLUCH LOPEZ, JAIME</v>
          </cell>
          <cell r="E248" t="e">
            <v>#N/A</v>
          </cell>
          <cell r="F248" t="str">
            <v>Gerència d'Hàbitat Urbà</v>
          </cell>
          <cell r="G248" t="str">
            <v>Gerència Ecologia Urbana</v>
          </cell>
          <cell r="H248" t="str">
            <v>Anàlisi de dades i Reporting</v>
          </cell>
          <cell r="I248" t="e">
            <v>#N/A</v>
          </cell>
          <cell r="J248" t="str">
            <v>Anàlisi de dades i Reporting</v>
          </cell>
        </row>
        <row r="249">
          <cell r="A249" t="str">
            <v>SER0xx1</v>
          </cell>
          <cell r="B249" t="str">
            <v>DIVERSOS PSH FASE 2 A CONCRETAR</v>
          </cell>
          <cell r="C249" t="str">
            <v>per determinar</v>
          </cell>
          <cell r="D249" t="str">
            <v>SERRA FERRANDO, MARTA</v>
          </cell>
          <cell r="E249" t="str">
            <v>SERRA FERRANDO, MARTA</v>
          </cell>
          <cell r="F249" t="str">
            <v>Institut Municipal d'Hisenda de Barcelona</v>
          </cell>
          <cell r="G249" t="str">
            <v>Institut Municipal d'Hisenda de Barcelona</v>
          </cell>
          <cell r="H249" t="str">
            <v>IMH</v>
          </cell>
          <cell r="I249" t="str">
            <v>IMH</v>
          </cell>
          <cell r="J249" t="str">
            <v>IMH</v>
          </cell>
        </row>
        <row r="250">
          <cell r="A250" t="str">
            <v>SER0xx2</v>
          </cell>
          <cell r="B250" t="str">
            <v>Gestió de la demanda, de projectes i de serveis</v>
          </cell>
          <cell r="C250" t="str">
            <v>LAGE HUERTAS, JOSE</v>
          </cell>
          <cell r="D250" t="str">
            <v>LAGE HUERTAS, JOSE</v>
          </cell>
          <cell r="E250" t="e">
            <v>#N/A</v>
          </cell>
          <cell r="F250" t="str">
            <v>IMI-TIC</v>
          </cell>
          <cell r="G250" t="str">
            <v>IMI-TIC</v>
          </cell>
          <cell r="H250" t="str">
            <v>Gestió Serveis TIC</v>
          </cell>
          <cell r="I250" t="e">
            <v>#N/A</v>
          </cell>
          <cell r="J250" t="str">
            <v>Gestió Serveis TIC</v>
          </cell>
        </row>
        <row r="251">
          <cell r="A251" t="str">
            <v>SER0xx3</v>
          </cell>
          <cell r="B251" t="str">
            <v xml:space="preserve">Serveis de suport de gestió Direcció Desenvolupament  </v>
          </cell>
          <cell r="C251" t="str">
            <v>LILLO ESPINOSA, ROSA M.</v>
          </cell>
          <cell r="D251" t="str">
            <v>LENDINEZ PALACIOS, NICOLAS</v>
          </cell>
          <cell r="E251" t="e">
            <v>#N/A</v>
          </cell>
          <cell r="F251" t="str">
            <v>IMI-TIC</v>
          </cell>
          <cell r="G251" t="str">
            <v>IMI-TIC</v>
          </cell>
          <cell r="H251" t="str">
            <v>Gestió Serveis TIC</v>
          </cell>
          <cell r="I251" t="e">
            <v>#N/A</v>
          </cell>
          <cell r="J251" t="str">
            <v>Gestió Serveis TIC</v>
          </cell>
        </row>
        <row r="252">
          <cell r="A252" t="str">
            <v>SER0XX5</v>
          </cell>
          <cell r="B252" t="str">
            <v>NOU SERVEI (Equip d'atenció a la Dona)</v>
          </cell>
          <cell r="C252" t="str">
            <v>BOIX RODRIGUEZ, JORDI</v>
          </cell>
          <cell r="D252" t="str">
            <v>BOIX RODRIGUEZ, JORDI</v>
          </cell>
          <cell r="E252" t="str">
            <v>BOIX RODRIGUEZ, JORDI</v>
          </cell>
          <cell r="F252" t="str">
            <v>Gerència de Qualitat de Vida, Igualtat i Esports</v>
          </cell>
          <cell r="G252" t="str">
            <v>Gerència de Drets Socials</v>
          </cell>
          <cell r="H252" t="str">
            <v>Atenció a les Persones</v>
          </cell>
          <cell r="I252" t="str">
            <v>DRETS SOCIALS</v>
          </cell>
          <cell r="J252" t="str">
            <v>DRETS SOCIALS</v>
          </cell>
        </row>
        <row r="253">
          <cell r="A253" t="str">
            <v>SER0XX6</v>
          </cell>
          <cell r="B253" t="str">
            <v>OFICINA GESTIÓ SERVEIS QVIE</v>
          </cell>
          <cell r="C253" t="str">
            <v>BOIX RODRIGUEZ, JORDI</v>
          </cell>
          <cell r="D253" t="str">
            <v>BOIX RODRIGUEZ, JORDI</v>
          </cell>
          <cell r="E253" t="str">
            <v>BOIX RODRIGUEZ, JORDI</v>
          </cell>
          <cell r="F253" t="str">
            <v>Gerència de Qualitat de Vida, Igualtat i Esports</v>
          </cell>
          <cell r="G253" t="str">
            <v>Gerència de Drets Socials</v>
          </cell>
          <cell r="H253" t="str">
            <v>Atenció a les Persones</v>
          </cell>
          <cell r="I253" t="e">
            <v>#N/A</v>
          </cell>
          <cell r="J253" t="str">
            <v>DRETS SOCIALS</v>
          </cell>
        </row>
        <row r="254">
          <cell r="A254" t="str">
            <v>SER0XX7</v>
          </cell>
          <cell r="B254" t="str">
            <v>OFICINA PROJECTES eObres</v>
          </cell>
          <cell r="C254" t="str">
            <v>EVA TERRER</v>
          </cell>
          <cell r="D254" t="str">
            <v>RODRIGUEZ</v>
          </cell>
          <cell r="E254" t="e">
            <v>#N/A</v>
          </cell>
          <cell r="F254" t="str">
            <v>IMI-TIC</v>
          </cell>
          <cell r="G254" t="str">
            <v>IMI-TIC</v>
          </cell>
          <cell r="H254" t="str">
            <v>PMO</v>
          </cell>
          <cell r="I254" t="e">
            <v>#N/A</v>
          </cell>
          <cell r="J254" t="str">
            <v>PMO</v>
          </cell>
        </row>
        <row r="255">
          <cell r="A255" t="str">
            <v>SER0XX8</v>
          </cell>
          <cell r="B255" t="str">
            <v>OFICINA QUALITAT</v>
          </cell>
          <cell r="C255" t="str">
            <v>FERNANDEZ MAS, JOSEP</v>
          </cell>
          <cell r="D255" t="str">
            <v>FERNANDEZ MAS, JOSEP</v>
          </cell>
          <cell r="E255" t="e">
            <v>#N/A</v>
          </cell>
          <cell r="F255" t="str">
            <v>IMI-TIC</v>
          </cell>
          <cell r="G255" t="str">
            <v>IMI-TIC</v>
          </cell>
          <cell r="H255" t="str">
            <v>Direcció de Recursos</v>
          </cell>
          <cell r="I255" t="e">
            <v>#N/A</v>
          </cell>
          <cell r="J255" t="str">
            <v>Direcció de Recursos</v>
          </cell>
        </row>
        <row r="256">
          <cell r="A256" t="str">
            <v>SER0XX9</v>
          </cell>
          <cell r="B256" t="str">
            <v>OFICINA DE TRANSFORMACIÓ</v>
          </cell>
          <cell r="C256" t="str">
            <v>RODRIGUEZ RODRIGUEZ, AMPARO</v>
          </cell>
          <cell r="D256" t="str">
            <v>RODRIGUEZ RODRIGUEZ, AMPARO</v>
          </cell>
          <cell r="E256" t="e">
            <v>#N/A</v>
          </cell>
          <cell r="F256" t="str">
            <v>IMI-TIC</v>
          </cell>
          <cell r="G256" t="str">
            <v>IMI-TIC</v>
          </cell>
          <cell r="H256" t="str">
            <v>Oficina T&amp;T</v>
          </cell>
          <cell r="I256" t="e">
            <v>#N/A</v>
          </cell>
          <cell r="J256" t="str">
            <v>Oficina T&amp;T</v>
          </cell>
        </row>
        <row r="257">
          <cell r="A257" t="str">
            <v>SER0XXX</v>
          </cell>
          <cell r="B257" t="str">
            <v>Phyton, php</v>
          </cell>
          <cell r="C257" t="str">
            <v>ORTIZ QUINTANA, IVAN </v>
          </cell>
          <cell r="D257" t="str">
            <v>LOPEZ BARBERO, RAFAEL</v>
          </cell>
          <cell r="E257" t="str">
            <v>LOPEZ BARBERO, RAFAEL</v>
          </cell>
          <cell r="F257" t="str">
            <v>IMI-TIC</v>
          </cell>
          <cell r="G257" t="str">
            <v>IMI-TIC</v>
          </cell>
          <cell r="H257" t="str">
            <v>Enginyeria, Frameworks i Moduls comuns</v>
          </cell>
          <cell r="I257" t="e">
            <v>#N/A</v>
          </cell>
          <cell r="J257" t="str">
            <v>ENGINYERIA PROGRAMARI, FRAMEWORKS I MODULS COMUNS</v>
          </cell>
        </row>
        <row r="258">
          <cell r="A258" t="str">
            <v>SERBI15</v>
          </cell>
          <cell r="B258" t="str">
            <v>Pressupost Analisi i Reporing 2015</v>
          </cell>
          <cell r="C258" t="str">
            <v>LLUCH LOPEZ, JAIME</v>
          </cell>
          <cell r="D258" t="str">
            <v>LLUCH LOPEZ, JAIME</v>
          </cell>
          <cell r="E258" t="e">
            <v>#N/A</v>
          </cell>
          <cell r="F258" t="str">
            <v>Direcció desenvolupament</v>
          </cell>
          <cell r="G258" t="str">
            <v>Direcció desenvolupament</v>
          </cell>
          <cell r="H258" t="str">
            <v>Anàlisi de dades i Reporting</v>
          </cell>
          <cell r="I258" t="e">
            <v>#N/A</v>
          </cell>
          <cell r="J258" t="str">
            <v>Anàlisi de dades i Reporting</v>
          </cell>
        </row>
        <row r="259">
          <cell r="A259" t="str">
            <v>SERFEND</v>
          </cell>
          <cell r="B259" t="str">
            <v>Frontend de càrregues</v>
          </cell>
          <cell r="C259" t="str">
            <v>LOPEZ JALLE, JOSÉ RAMON</v>
          </cell>
          <cell r="D259" t="str">
            <v>LLUCH LOPEZ, JAIME</v>
          </cell>
          <cell r="E259" t="e">
            <v>#N/A</v>
          </cell>
          <cell r="F259" t="str">
            <v>Gerència Municipal</v>
          </cell>
          <cell r="G259" t="str">
            <v>Gerència Municipal</v>
          </cell>
          <cell r="H259" t="str">
            <v>Anàlisi de dades i Reporting</v>
          </cell>
          <cell r="I259" t="e">
            <v>#N/A</v>
          </cell>
          <cell r="J259" t="str">
            <v>Anàlisi de dades i Reporting</v>
          </cell>
        </row>
        <row r="260">
          <cell r="A260" t="str">
            <v>SERIRIS</v>
          </cell>
          <cell r="B260" t="str">
            <v>Datawarehouse QDC IRIS</v>
          </cell>
          <cell r="C260" t="str">
            <v>LLUCH LOPEZ, JAIME</v>
          </cell>
          <cell r="D260" t="str">
            <v>LLUCH LOPEZ, JAIME</v>
          </cell>
          <cell r="E260" t="e">
            <v>#N/A</v>
          </cell>
          <cell r="F260" t="str">
            <v>Gerència de Recursos</v>
          </cell>
          <cell r="G260" t="str">
            <v>Gerència Municipal</v>
          </cell>
          <cell r="H260" t="str">
            <v>Anàlisi de dades i Reporting</v>
          </cell>
          <cell r="I260" t="e">
            <v>#N/A</v>
          </cell>
          <cell r="J260" t="str">
            <v>Anàlisi de dades i Reporting</v>
          </cell>
        </row>
        <row r="261">
          <cell r="A261" t="str">
            <v>SERQVI1</v>
          </cell>
          <cell r="B261" t="str">
            <v>SUPORT A LA CONTRACTACIÓ QVIE</v>
          </cell>
          <cell r="C261" t="str">
            <v>BOIX RODRIGUEZ, JORDI</v>
          </cell>
          <cell r="D261" t="str">
            <v>BOIX RODRIGUEZ, JORDI</v>
          </cell>
          <cell r="E261" t="e">
            <v>#N/A</v>
          </cell>
          <cell r="F261" t="str">
            <v>Gerència de Qualitat de Vida, Igualtat i Esports</v>
          </cell>
          <cell r="G261" t="str">
            <v>Gerència de Drets Socials</v>
          </cell>
          <cell r="H261" t="str">
            <v>Atenció a les Persones</v>
          </cell>
          <cell r="I261" t="e">
            <v>#N/A</v>
          </cell>
          <cell r="J261" t="str">
            <v>Atenció a les Persones</v>
          </cell>
        </row>
        <row r="262">
          <cell r="A262" t="str">
            <v>SERROOM</v>
          </cell>
          <cell r="B262" t="str">
            <v>Manteniment i serveis Situation Room</v>
          </cell>
          <cell r="C262" t="str">
            <v>Otero Escribano, Fernando</v>
          </cell>
          <cell r="D262" t="str">
            <v>TORTOLA FERNANDEZ, JOSE A.</v>
          </cell>
          <cell r="E262" t="str">
            <v>ORTUÑO RIBE, JORDI</v>
          </cell>
          <cell r="F262" t="str">
            <v>Gerència d'Hàbitat Urbà</v>
          </cell>
          <cell r="G262" t="str">
            <v>Gerència Ecologia Urbana</v>
          </cell>
          <cell r="H262" t="str">
            <v>Espai Urbà</v>
          </cell>
          <cell r="I262" t="str">
            <v>ECOLOGIA URBANA. MOBILITAT I INFRASTRUCTURES</v>
          </cell>
          <cell r="J262" t="str">
            <v>ECOLOGIA URBANA. MEDI AMBIENT I SERVEIS URBANS</v>
          </cell>
        </row>
      </sheetData>
      <sheetData sheetId="3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981.574691550923" createdVersion="4" refreshedVersion="4" minRefreshableVersion="3" recordCount="30">
  <cacheSource type="worksheet">
    <worksheetSource ref="C2:D32" sheet="Perfils"/>
  </cacheSource>
  <cacheFields count="2">
    <cacheField name="Perfil" numFmtId="0">
      <sharedItems count="13">
        <s v="Arquitecte/a"/>
        <s v="Tècnic/a especialista productes - Consultor/a especialista"/>
        <s v="Administrador/a i Tècnic/a de  Sistemes - Consultor júnior"/>
        <s v="Preu perfil tipus"/>
        <s v="Tècnic/a sistemes júnior - Tecnic testing"/>
        <s v="Programador/a júnior"/>
        <s v="Cap de projecte - Responsable dels serveis"/>
        <s v="Analista programador/a - analista user experience -Programador/a sènior"/>
        <s v="Tècnic/a especialista productes - Consultor/a sènior" u="1"/>
        <s v="Analista programador/a júnior" u="1"/>
        <s v="Administrador/a i Tècnic/a de  Sistemes" u="1"/>
        <s v="Programador/a sènior- Analista programador/a - analista user experience" u="1"/>
        <s v="Tècnic/a sistemes júnior - Consultor/a júnior" u="1"/>
      </sharedItems>
    </cacheField>
    <cacheField name="% dedicació" numFmtId="0">
      <sharedItems containsString="0" containsBlank="1" containsNumber="1" minValue="0.05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juntament de Barcelona" refreshedDate="44981.588756134261" createdVersion="4" refreshedVersion="4" minRefreshableVersion="3" recordCount="3">
  <cacheSource type="worksheet">
    <worksheetSource ref="C35:D38" sheet="Perfils"/>
  </cacheSource>
  <cacheFields count="2">
    <cacheField name="Perfil" numFmtId="0">
      <sharedItems count="4">
        <s v="Cap de projecte - Responsable dels serveis"/>
        <s v="Tècnic/a sistemes júnior - Tecnic testing"/>
        <s v="Preu perfil tipus"/>
        <s v="Tècnic/a sistemes júnior - Consultor/a júnior" u="1"/>
      </sharedItems>
    </cacheField>
    <cacheField name="% dedicació" numFmtId="0">
      <sharedItems containsString="0" containsBlank="1" containsNumber="1" minValue="0.3" maxValue="0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n v="0.2"/>
  </r>
  <r>
    <x v="1"/>
    <n v="0.6"/>
  </r>
  <r>
    <x v="2"/>
    <n v="0.2"/>
  </r>
  <r>
    <x v="3"/>
    <m/>
  </r>
  <r>
    <x v="2"/>
    <n v="0.4"/>
  </r>
  <r>
    <x v="4"/>
    <n v="0.6"/>
  </r>
  <r>
    <x v="3"/>
    <m/>
  </r>
  <r>
    <x v="5"/>
    <n v="0.7"/>
  </r>
  <r>
    <x v="0"/>
    <n v="0.1"/>
  </r>
  <r>
    <x v="1"/>
    <n v="0.2"/>
  </r>
  <r>
    <x v="3"/>
    <m/>
  </r>
  <r>
    <x v="1"/>
    <n v="0.75"/>
  </r>
  <r>
    <x v="4"/>
    <n v="0.25"/>
  </r>
  <r>
    <x v="3"/>
    <m/>
  </r>
  <r>
    <x v="6"/>
    <n v="0.2"/>
  </r>
  <r>
    <x v="0"/>
    <n v="0.1"/>
  </r>
  <r>
    <x v="1"/>
    <n v="0.1"/>
  </r>
  <r>
    <x v="7"/>
    <n v="0.6"/>
  </r>
  <r>
    <x v="3"/>
    <m/>
  </r>
  <r>
    <x v="6"/>
    <n v="0.2"/>
  </r>
  <r>
    <x v="0"/>
    <n v="0.05"/>
  </r>
  <r>
    <x v="1"/>
    <n v="0.15"/>
  </r>
  <r>
    <x v="7"/>
    <n v="0.3"/>
  </r>
  <r>
    <x v="5"/>
    <n v="0.3"/>
  </r>
  <r>
    <x v="3"/>
    <m/>
  </r>
  <r>
    <x v="1"/>
    <n v="0.3"/>
  </r>
  <r>
    <x v="2"/>
    <n v="0.7"/>
  </r>
  <r>
    <x v="3"/>
    <m/>
  </r>
  <r>
    <x v="6"/>
    <n v="1"/>
  </r>
  <r>
    <x v="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x v="0"/>
    <n v="0.3"/>
  </r>
  <r>
    <x v="1"/>
    <n v="0.7"/>
  </r>
  <r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 rowHeaderCaption="Perfils LOT 1">
  <location ref="K2:L10" firstHeaderRow="1" firstDataRow="1" firstDataCol="1"/>
  <pivotFields count="2">
    <pivotField axis="axisRow" showAll="0" sortType="ascending">
      <items count="14">
        <item m="1" x="10"/>
        <item x="2"/>
        <item x="7"/>
        <item m="1" x="9"/>
        <item x="0"/>
        <item x="6"/>
        <item h="1" x="3"/>
        <item x="5"/>
        <item m="1" x="11"/>
        <item x="1"/>
        <item m="1" x="8"/>
        <item m="1" x="12"/>
        <item x="4"/>
        <item t="default"/>
      </items>
    </pivotField>
    <pivotField dataField="1" showAll="0"/>
  </pivotFields>
  <rowFields count="1">
    <field x="0"/>
  </rowFields>
  <rowItems count="8">
    <i>
      <x v="1"/>
    </i>
    <i>
      <x v="2"/>
    </i>
    <i>
      <x v="4"/>
    </i>
    <i>
      <x v="5"/>
    </i>
    <i>
      <x v="7"/>
    </i>
    <i>
      <x v="9"/>
    </i>
    <i>
      <x v="12"/>
    </i>
    <i t="grand">
      <x/>
    </i>
  </rowItems>
  <colItems count="1">
    <i/>
  </colItems>
  <dataFields count="1">
    <dataField name="FTEs" fld="1" baseField="0" baseItem="0"/>
  </dataFields>
  <formats count="1">
    <format dxfId="8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ula dinàmica3" cacheId="1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 rowHeaderCaption="Perfils LOT2">
  <location ref="K35:L38" firstHeaderRow="1" firstDataRow="1" firstDataCol="1"/>
  <pivotFields count="2">
    <pivotField axis="axisRow" showAll="0">
      <items count="5">
        <item x="0"/>
        <item h="1" x="2"/>
        <item m="1" x="3"/>
        <item x="1"/>
        <item t="default"/>
      </items>
    </pivotField>
    <pivotField dataField="1" showAll="0"/>
  </pivotFields>
  <rowFields count="1">
    <field x="0"/>
  </rowFields>
  <rowItems count="3">
    <i>
      <x/>
    </i>
    <i>
      <x v="3"/>
    </i>
    <i t="grand">
      <x/>
    </i>
  </rowItems>
  <colItems count="1">
    <i/>
  </colItems>
  <dataFields count="1">
    <dataField name="FTE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CalculPressup" displayName="CalculPressup" ref="D5:P21" totalsRowCount="1" headerRowDxfId="146" dataDxfId="145" totalsRowDxfId="144">
  <autoFilter ref="D5:P20"/>
  <tableColumns count="13">
    <tableColumn id="1" name="Subservei LOT 1" totalsRowLabel="Import total licitació" dataDxfId="143" totalsRowDxfId="142"/>
    <tableColumn id="3" name="Import 1r any_x000a_IVA inc" totalsRowFunction="sum" dataDxfId="141" totalsRowDxfId="140">
      <calculatedColumnFormula>K6*1.21</calculatedColumnFormula>
    </tableColumn>
    <tableColumn id="4" name="Import 2n any_x000a_IVA inc" totalsRowFunction="sum" dataDxfId="139" totalsRowDxfId="138">
      <calculatedColumnFormula>L6*1.21</calculatedColumnFormula>
    </tableColumn>
    <tableColumn id="14" name="import 2023_x000a_IVA inc" totalsRowFunction="sum" dataDxfId="137" totalsRowDxfId="136">
      <calculatedColumnFormula>CalculPressup[[#This Row],[import 2023
IVA exc]]*1.21</calculatedColumnFormula>
    </tableColumn>
    <tableColumn id="16" name="import 2024_x000a_IVA inc" totalsRowFunction="sum" dataDxfId="135" totalsRowDxfId="134">
      <calculatedColumnFormula>CalculPressup[[#This Row],[import 2024
IVA exc]]*1.21</calculatedColumnFormula>
    </tableColumn>
    <tableColumn id="15" name="import 2025_x000a_IVA inc" totalsRowFunction="sum" dataDxfId="133" totalsRowDxfId="132">
      <calculatedColumnFormula>CalculPressup[[#This Row],[import 2025
IVA exc]]*1.21</calculatedColumnFormula>
    </tableColumn>
    <tableColumn id="5" name="Import Total _x000a_IVA inclòs" totalsRowFunction="custom" dataDxfId="131" totalsRowDxfId="130">
      <calculatedColumnFormula>SUM(CalculPressup[[#This Row],[import 2023
IVA inc]:[import 2025
IVA inc]])</calculatedColumnFormula>
      <totalsRowFormula>J9+J12+J14+J17+J20</totalsRowFormula>
    </tableColumn>
    <tableColumn id="7" name="import 1r any_x000a_IVA exc" totalsRowFunction="sum" dataDxfId="129" totalsRowDxfId="128"/>
    <tableColumn id="12" name="import 2n any_x000a_IVA exc" totalsRowFunction="sum" dataDxfId="127" totalsRowDxfId="126"/>
    <tableColumn id="10" name="import 2023_x000a_IVA exc" totalsRowFunction="sum" dataDxfId="125" totalsRowDxfId="124">
      <calculatedColumnFormula>(CalculPressup[[#This Row],[import 1r any
IVA exc]]/365)*$I$4</calculatedColumnFormula>
    </tableColumn>
    <tableColumn id="8" name="import 2024_x000a_IVA exc" totalsRowFunction="custom" dataDxfId="123" totalsRowDxfId="122">
      <calculatedColumnFormula>(CalculPressup[[#This Row],[import 1r any
IVA exc]]-CalculPressup[[#This Row],[import 2023
IVA exc]])+(CalculPressup[[#This Row],[import 2n any
IVA exc]]/365)*$I$4</calculatedColumnFormula>
      <totalsRowFormula>SUBTOTAL(109,CalculPressup[import 2024
IVA exc])+0.001</totalsRowFormula>
    </tableColumn>
    <tableColumn id="11" name="import 2025_x000a_IVA exc" totalsRowFunction="sum" dataDxfId="121" totalsRowDxfId="120">
      <calculatedColumnFormula>(CalculPressup[[#This Row],[import 1r any
IVA exc]]-CalculPressup[[#This Row],[import 2023
IVA exc]])+(CalculPressup[[#This Row],[import 2n any
IVA exc]]/365)*$I$4</calculatedColumnFormula>
    </tableColumn>
    <tableColumn id="13" name="Import Total _x000a_IVA exclòs" totalsRowFunction="custom" dataDxfId="119" totalsRowDxfId="118" dataCellStyle="Moneda">
      <calculatedColumnFormula>SUM(CalculPressup[[#This Row],[import 2023
IVA exc]:[import 2025
IVA exc]])</calculatedColumnFormula>
      <totalsRowFormula>P9+P12+P14+P17+P20</totalsRowFormula>
    </tableColumn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id="9" name="Taula9" displayName="Taula9" ref="B3:C10" totalsRowCount="1">
  <autoFilter ref="B3:C9"/>
  <tableColumns count="2">
    <tableColumn id="1" name="Producte CDP_x000a_1.500.000 perfils" totalsRowLabel="Mitjana"/>
    <tableColumn id="2" name="Cost any_x000a_IVA Exclòs" totalsRowFunction="average" dataDxfId="1" totalsRowDxfId="0" dataCellStyle="Moned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ula1" displayName="Taula1" ref="D24:P26" totalsRowCount="1" headerRowDxfId="117" dataDxfId="116" totalsRowDxfId="115">
  <autoFilter ref="D24:P25"/>
  <tableColumns count="13">
    <tableColumn id="1" name="Servei LOT 2" totalsRowLabel="Transició" dataDxfId="114" totalsRowDxfId="113"/>
    <tableColumn id="2" name="Import 1r any_x000a_IVA inc" totalsRowFunction="custom" dataDxfId="112" totalsRowDxfId="111">
      <calculatedColumnFormula>E24</calculatedColumnFormula>
      <totalsRowFormula>Taula1[[#Totals],[Import 1r any
IVA exc]]*1.21</totalsRowFormula>
    </tableColumn>
    <tableColumn id="3" name="Import 2n any_x000a_IVA inc" totalsRowFunction="custom" dataDxfId="110" totalsRowDxfId="109">
      <calculatedColumnFormula>F24</calculatedColumnFormula>
      <totalsRowFormula>Taula1[[#Totals],[Import 2n any
IVA exc]]*1.21</totalsRowFormula>
    </tableColumn>
    <tableColumn id="9" name="import 2023_x000a_IVA inc" dataDxfId="108" totalsRowDxfId="107">
      <calculatedColumnFormula>Taula1[import 2023
IVA exc]*1.21</calculatedColumnFormula>
    </tableColumn>
    <tableColumn id="11" name="import 2024_x000a_IVA inc" dataDxfId="106" totalsRowDxfId="105">
      <calculatedColumnFormula>Taula1[import 2024
IVA exc]*1.21</calculatedColumnFormula>
    </tableColumn>
    <tableColumn id="10" name="import 2025_x000a_IVA inc" totalsRowFunction="custom" dataDxfId="104" totalsRowDxfId="103">
      <calculatedColumnFormula>Taula1[import 2025
IVA exc]*1.21</calculatedColumnFormula>
      <totalsRowFormula>Taula1[[#Totals],[import 2025
IVA exc]]*1.21</totalsRowFormula>
    </tableColumn>
    <tableColumn id="4" name="Import Total IVA inclòs" totalsRowFunction="custom" dataDxfId="102" totalsRowDxfId="101">
      <calculatedColumnFormula>SUM(Taula1[[import 2023
IVA inc]:[import 2025
IVA inc]])</calculatedColumnFormula>
      <totalsRowFormula>Taula1[[#Totals],[import 2025
IVA inc]]</totalsRowFormula>
    </tableColumn>
    <tableColumn id="6" name="Import 1r any_x000a_IVA exc" totalsRowLabel="0" dataDxfId="100" totalsRowDxfId="99"/>
    <tableColumn id="8" name="Import 2n any_x000a_IVA exc" totalsRowFunction="custom" dataDxfId="98" totalsRowDxfId="97">
      <totalsRowFormula>Q25/2</totalsRowFormula>
    </tableColumn>
    <tableColumn id="12" name="import 2023_x000a_IVA exc" totalsRowFunction="custom" dataDxfId="96" totalsRowDxfId="95" dataCellStyle="Moneda">
      <calculatedColumnFormula>(Taula1[[#This Row],[Import 1r any
IVA exc]]/365)*$I$4</calculatedColumnFormula>
      <totalsRowFormula>Taula1[[#Totals],[Import 1r any
IVA exc]]*$I$4</totalsRowFormula>
    </tableColumn>
    <tableColumn id="13" name="import 2024_x000a_IVA exc" totalsRowLabel=" -   € " dataDxfId="94" totalsRowDxfId="93" dataCellStyle="Moneda">
      <calculatedColumnFormula>(Taula1[[#This Row],[Import 1r any
IVA exc]]-Taula1[[#This Row],[import 2023
IVA exc]])+(Taula1[[#This Row],[Import 2n any
IVA exc]]/365)*$I$4</calculatedColumnFormula>
    </tableColumn>
    <tableColumn id="14" name="import 2025_x000a_IVA exc" totalsRowFunction="custom" dataDxfId="92" totalsRowDxfId="91" dataCellStyle="Moneda">
      <calculatedColumnFormula>(Taula1[[#This Row],[Import 2n any
IVA exc]]/365)*(365-$I$4)</calculatedColumnFormula>
      <totalsRowFormula>(Taula1[[#Totals],[Import 2n any
IVA exc]])</totalsRowFormula>
    </tableColumn>
    <tableColumn id="15" name="Import Total _x000a_IVA exclòs" totalsRowFunction="custom" dataDxfId="90" totalsRowDxfId="89" dataCellStyle="Moneda">
      <calculatedColumnFormula>SUM(Taula1[[#This Row],[import 2023
IVA exc]:[import 2025
IVA exc]])</calculatedColumnFormula>
      <totalsRowFormula>SUM(Taula1[[#Totals],[import 2023
IVA exc]:[import 2025
IVA exc]])</totalsRow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id="8" name="Tabla8" displayName="Tabla8" ref="D64:E67" totalsRowShown="0" headerRowDxfId="88" tableBorderDxfId="87">
  <autoFilter ref="D64:E67"/>
  <tableColumns count="2">
    <tableColumn id="2" name="Columna2"/>
    <tableColumn id="1" name="C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ServeiLot1" displayName="TServeiLot1" ref="B5:N16" totalsRowCount="1" headerRowDxfId="85" dataDxfId="84" totalsRowDxfId="82" tableBorderDxfId="83">
  <autoFilter ref="B5:N15"/>
  <tableColumns count="13">
    <tableColumn id="15" name="Sub Servei" dataDxfId="81" totalsRowDxfId="80"/>
    <tableColumn id="2" name="Import net_x000a_2023" totalsRowFunction="sum" dataDxfId="79" totalsRowDxfId="78"/>
    <tableColumn id="3" name="IVA 21%_x000a_2023" totalsRowFunction="sum" totalsRowDxfId="77"/>
    <tableColumn id="4" name="Import total_x000a_2023" totalsRowFunction="sum" dataDxfId="76" totalsRowDxfId="75"/>
    <tableColumn id="5" name="Import net_x000a_2024" totalsRowFunction="custom" dataDxfId="74" totalsRowDxfId="73">
      <totalsRowFormula>SUBTOTAL(109,TServeiLot1[Import net
2024])+0.001</totalsRowFormula>
    </tableColumn>
    <tableColumn id="6" name="IVA 21%_x000a_2024" totalsRowFunction="sum" totalsRowDxfId="72"/>
    <tableColumn id="7" name="Import total_x000a_2024" totalsRowFunction="custom" dataDxfId="71" totalsRowDxfId="70">
      <totalsRowFormula>SUBTOTAL(109,TServeiLot1[Import total
2024])+0.001</totalsRowFormula>
    </tableColumn>
    <tableColumn id="11" name="Import net_x000a_2025" totalsRowFunction="sum" dataDxfId="69" totalsRowDxfId="68">
      <calculatedColumnFormula>'Càlcul pressupost '!O7</calculatedColumnFormula>
    </tableColumn>
    <tableColumn id="12" name="IVA 21%_x000a_2025" totalsRowFunction="sum" dataDxfId="67" totalsRowDxfId="66">
      <calculatedColumnFormula>ROUND(I6*0.21,2)+0.01</calculatedColumnFormula>
    </tableColumn>
    <tableColumn id="13" name="Import total_x000a_2025" totalsRowFunction="custom" dataDxfId="65" totalsRowDxfId="64">
      <calculatedColumnFormula>TServeiLot1[[#This Row],[Import net
2025]]+TServeiLot1[[#This Row],[IVA 21%
2025]]</calculatedColumnFormula>
      <totalsRowFormula>SUBTOTAL(109,TServeiLot1[Import total
2025])-0.01</totalsRowFormula>
    </tableColumn>
    <tableColumn id="8" name="Total import net" totalsRowFunction="sum" dataDxfId="63" totalsRowDxfId="62">
      <calculatedColumnFormula>TServeiLot1[[#This Row],[Import net
2023]]+TServeiLot1[[#This Row],[Import net
2024]]+TServeiLot1[[#This Row],[Import net
2025]]</calculatedColumnFormula>
    </tableColumn>
    <tableColumn id="9" name="Total IVA 21%" totalsRowFunction="custom" dataDxfId="61" totalsRowDxfId="60">
      <calculatedColumnFormula>TServeiLot1[[#This Row],[IVA 21%
2023]]+TServeiLot1[[#This Row],[IVA 21%
2024]]+TServeiLot1[[#This Row],[IVA 21%
2025]]</calculatedColumnFormula>
      <totalsRowFormula>SUBTOTAL(109,TServeiLot1[Total IVA 21%])+0.02</totalsRowFormula>
    </tableColumn>
    <tableColumn id="10" name="Total import contracte" totalsRowFunction="custom" dataDxfId="59" totalsRowDxfId="58">
      <calculatedColumnFormula>TServeiLot1[[#This Row],[Total import net]]+TServeiLot1[[#This Row],[Total IVA 21%]]</calculatedColumnFormula>
      <totalsRowFormula>SUBTOTAL(109,TServeiLot1[Total import contracte])+0.02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4" name="TserveisLot2" displayName="TserveisLot2" ref="A21:N22" totalsRowDxfId="56" tableBorderDxfId="57">
  <autoFilter ref="A21:N22"/>
  <tableColumns count="14">
    <tableColumn id="1" name="Serveis" totalsRowLabel="Total" dataDxfId="55" totalsRowDxfId="54"/>
    <tableColumn id="14" name="Sub Servei" dataDxfId="53" totalsRowDxfId="52"/>
    <tableColumn id="2" name="Import net_x000a_2023" dataDxfId="51" totalsRowDxfId="50">
      <calculatedColumnFormula>Taula1[import 2023
IVA exc]</calculatedColumnFormula>
    </tableColumn>
    <tableColumn id="3" name="IVA 21%_x000a_2023" dataDxfId="49">
      <calculatedColumnFormula>ROUND(C22*0.21,2)</calculatedColumnFormula>
    </tableColumn>
    <tableColumn id="4" name="Import total_x000a_2023" dataDxfId="48">
      <calculatedColumnFormula>+C22+D22</calculatedColumnFormula>
    </tableColumn>
    <tableColumn id="5" name="Import net_x000a_2024" dataDxfId="47">
      <calculatedColumnFormula>Taula1[import 2024
IVA exc]</calculatedColumnFormula>
    </tableColumn>
    <tableColumn id="6" name="IVA 21%_x000a_2024" dataDxfId="46">
      <calculatedColumnFormula>ROUND(F22*0.21,2)</calculatedColumnFormula>
    </tableColumn>
    <tableColumn id="7" name="Import total_x000a_2024" dataDxfId="45">
      <calculatedColumnFormula>+F22+G22</calculatedColumnFormula>
    </tableColumn>
    <tableColumn id="8" name="Import net_x000a_2025" dataDxfId="44">
      <calculatedColumnFormula>Taula1[import 2025
IVA exc]</calculatedColumnFormula>
    </tableColumn>
    <tableColumn id="9" name="IVA 21%_x000a_2025" dataDxfId="43">
      <calculatedColumnFormula>ROUND(I22*0.21,2)</calculatedColumnFormula>
    </tableColumn>
    <tableColumn id="10" name="Import total_x000a_2025" dataDxfId="42">
      <calculatedColumnFormula>I22+J22</calculatedColumnFormula>
    </tableColumn>
    <tableColumn id="11" name="Total import net" totalsRowFunction="sum" dataDxfId="41" totalsRowDxfId="40">
      <calculatedColumnFormula>C22+F22+I22</calculatedColumnFormula>
    </tableColumn>
    <tableColumn id="12" name="Total IVA 21%" dataDxfId="39">
      <calculatedColumnFormula>D22+G22+J22</calculatedColumnFormula>
    </tableColumn>
    <tableColumn id="13" name="Total import contracte" totalsRowFunction="sum" dataDxfId="38" totalsRowDxfId="37">
      <calculatedColumnFormula>E22+H22+K22</calculatedColumn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5" name="TCapitol" displayName="TCapitol" ref="A28:E32" totalsRowCount="1" headerRowDxfId="36" dataDxfId="34" headerRowBorderDxfId="35" tableBorderDxfId="33" dataCellStyle="Moneda">
  <autoFilter ref="A28:E31"/>
  <tableColumns count="5">
    <tableColumn id="1" name="Any" totalsRowLabel="Total" dataDxfId="32" totalsRowDxfId="31"/>
    <tableColumn id="2" name="Capítol" dataDxfId="30" totalsRowDxfId="29"/>
    <tableColumn id="3" name="Pressupost net" totalsRowFunction="sum" dataDxfId="28" totalsRowDxfId="27" dataCellStyle="Moneda"/>
    <tableColumn id="4" name="IVA" totalsRowFunction="sum" dataDxfId="26" totalsRowDxfId="25" dataCellStyle="Moneda">
      <calculatedColumnFormula>C29*0.21</calculatedColumnFormula>
    </tableColumn>
    <tableColumn id="5" name="Import total" totalsRowFunction="sum" dataDxfId="24" totalsRowDxfId="23" dataCellStyle="Moneda">
      <calculatedColumnFormula>C29+D29</calculatedColumn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6" name="Taula6" displayName="Taula6" ref="B2:D7" totalsRowCount="1" headerRowDxfId="22" dataDxfId="21" dataCellStyle="Moneda">
  <autoFilter ref="B2:D6"/>
  <tableColumns count="3">
    <tableColumn id="1" name="Elements comunicacions" totalsRowLabel="Total"/>
    <tableColumn id="2" name="cost mensual 1 GB_x000a_iva exc" dataDxfId="20" totalsRowDxfId="19" dataCellStyle="Moneda"/>
    <tableColumn id="3" name="cost anual 1 GB_x000a_iva exc" totalsRowFunction="sum" dataDxfId="18" totalsRowDxfId="17" dataCellStyle="Moned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7" name="Taula7" displayName="Taula7" ref="B16:D18" totalsRowCount="1" headerRowDxfId="16" headerRowBorderDxfId="15" tableBorderDxfId="14" totalsRowBorderDxfId="13">
  <autoFilter ref="B16:D17"/>
  <tableColumns count="3">
    <tableColumn id="1" name="Infraestructura/Manteniment/operació de les comunicacions" totalsRowLabel="Total" dataDxfId="12" totalsRowDxfId="11"/>
    <tableColumn id="2" name="cost mensual _x000a_iva exc" dataDxfId="10" totalsRowDxfId="9" dataCellStyle="Moneda">
      <calculatedColumnFormula>Taula7[cost anual 
iva exc]/12</calculatedColumnFormula>
    </tableColumn>
    <tableColumn id="3" name="cost anual _x000a_iva exc" totalsRowFunction="sum" dataDxfId="8" totalsRowDxfId="7" dataCellStyle="Moneda">
      <calculatedColumnFormula>150000/2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ula10" displayName="Taula10" ref="B10:D13" totalsRowCount="1" tableBorderDxfId="6">
  <autoFilter ref="B10:D12"/>
  <tableColumns count="3">
    <tableColumn id="1" name="Espai ciutadà" totalsRowLabel="Total"/>
    <tableColumn id="2" name="cost mensual _x000a_iva exc" totalsRowFunction="sum" dataDxfId="5" totalsRowDxfId="4" dataCellStyle="Moneda"/>
    <tableColumn id="3" name="cost anual _x000a_iva exc" totalsRowFunction="sum" dataDxfId="3" totalsRowDxfId="2" dataCellStyle="Moneda">
      <calculatedColumnFormula>C11*12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42"/>
  <sheetViews>
    <sheetView tabSelected="1" workbookViewId="0">
      <selection activeCell="S23" sqref="S23"/>
    </sheetView>
  </sheetViews>
  <sheetFormatPr defaultColWidth="11.42578125" defaultRowHeight="15"/>
  <cols>
    <col min="1" max="1" width="14.140625" style="7" customWidth="1"/>
    <col min="2" max="2" width="10.85546875" style="10" customWidth="1"/>
    <col min="3" max="3" width="28.140625" style="9" customWidth="1"/>
    <col min="4" max="4" width="29.28515625" style="10" customWidth="1"/>
    <col min="5" max="5" width="20.5703125" style="10" customWidth="1"/>
    <col min="6" max="6" width="18" style="9" bestFit="1" customWidth="1"/>
    <col min="7" max="7" width="18.85546875" style="9" bestFit="1" customWidth="1"/>
    <col min="8" max="9" width="16.140625" style="7" bestFit="1" customWidth="1"/>
    <col min="10" max="10" width="20.28515625" style="7" bestFit="1" customWidth="1"/>
    <col min="11" max="11" width="15.7109375" style="7" customWidth="1"/>
    <col min="12" max="12" width="19.28515625" style="7" bestFit="1" customWidth="1"/>
    <col min="13" max="13" width="17.28515625" style="7" bestFit="1" customWidth="1"/>
    <col min="14" max="15" width="16.140625" style="7" bestFit="1" customWidth="1"/>
    <col min="16" max="16" width="17.85546875" style="7" bestFit="1" customWidth="1"/>
    <col min="17" max="17" width="13.42578125" style="7" bestFit="1" customWidth="1"/>
    <col min="18" max="18" width="3.28515625" style="7" customWidth="1"/>
    <col min="19" max="19" width="15.42578125" style="7" bestFit="1" customWidth="1"/>
    <col min="20" max="20" width="21.28515625" style="7" customWidth="1"/>
    <col min="21" max="21" width="10.85546875" style="7" bestFit="1" customWidth="1"/>
    <col min="22" max="22" width="15.42578125" style="7" bestFit="1" customWidth="1"/>
    <col min="23" max="23" width="9.28515625" style="7" customWidth="1"/>
    <col min="24" max="24" width="10.85546875" style="7" bestFit="1" customWidth="1"/>
    <col min="25" max="25" width="15" style="7" bestFit="1" customWidth="1"/>
    <col min="26" max="26" width="11.5703125" style="7" customWidth="1"/>
    <col min="27" max="27" width="11.85546875" style="7" customWidth="1"/>
    <col min="28" max="28" width="13" style="7" bestFit="1" customWidth="1"/>
    <col min="29" max="29" width="17.85546875" style="7" bestFit="1" customWidth="1"/>
    <col min="30" max="31" width="10.5703125" style="7" bestFit="1" customWidth="1"/>
    <col min="32" max="32" width="14.42578125" style="7" customWidth="1"/>
    <col min="33" max="34" width="17.85546875" style="8" bestFit="1" customWidth="1"/>
    <col min="35" max="35" width="14.42578125" style="7" customWidth="1"/>
    <col min="36" max="36" width="11.5703125" style="8" bestFit="1" customWidth="1"/>
    <col min="37" max="37" width="18.28515625" style="8" bestFit="1" customWidth="1"/>
    <col min="38" max="38" width="17.28515625" style="8" customWidth="1"/>
    <col min="39" max="39" width="14" style="7" customWidth="1"/>
    <col min="40" max="41" width="11.42578125" style="7"/>
    <col min="42" max="42" width="12.7109375" style="7" bestFit="1" customWidth="1"/>
    <col min="43" max="16384" width="11.42578125" style="7"/>
  </cols>
  <sheetData>
    <row r="1" spans="1:38" ht="18.75">
      <c r="A1" s="40" t="s">
        <v>85</v>
      </c>
      <c r="B1" s="42"/>
      <c r="C1" s="41"/>
      <c r="D1" s="40"/>
      <c r="E1" s="39"/>
      <c r="F1" s="7"/>
      <c r="G1" s="7"/>
      <c r="AG1" s="7"/>
      <c r="AH1" s="7"/>
      <c r="AI1" s="8"/>
      <c r="AJ1" s="7"/>
      <c r="AK1" s="7"/>
      <c r="AL1" s="7"/>
    </row>
    <row r="2" spans="1:38">
      <c r="A2" s="37" t="s">
        <v>17</v>
      </c>
      <c r="B2" s="304">
        <v>45202</v>
      </c>
      <c r="C2" s="38"/>
      <c r="D2" s="38"/>
      <c r="E2" s="487" t="s">
        <v>83</v>
      </c>
      <c r="F2" s="488">
        <f>B2</f>
        <v>45202</v>
      </c>
      <c r="G2" s="222" t="s">
        <v>152</v>
      </c>
      <c r="I2" s="488">
        <f>F2</f>
        <v>45202</v>
      </c>
      <c r="AG2" s="7"/>
      <c r="AH2" s="7"/>
      <c r="AJ2" s="7"/>
      <c r="AK2" s="7"/>
      <c r="AL2" s="7"/>
    </row>
    <row r="3" spans="1:38">
      <c r="A3" s="1" t="s">
        <v>7</v>
      </c>
      <c r="B3" s="304">
        <v>45202</v>
      </c>
      <c r="C3" s="38"/>
      <c r="D3" s="38"/>
      <c r="E3" s="487" t="s">
        <v>84</v>
      </c>
      <c r="F3" s="488">
        <f>+B4</f>
        <v>45932</v>
      </c>
      <c r="G3" s="221">
        <v>46297</v>
      </c>
      <c r="I3" s="488">
        <v>45291</v>
      </c>
      <c r="AG3" s="7"/>
      <c r="AH3" s="7"/>
      <c r="AJ3" s="7"/>
      <c r="AK3" s="7"/>
      <c r="AL3" s="7"/>
    </row>
    <row r="4" spans="1:38" ht="15.75" thickBot="1">
      <c r="A4" s="37" t="s">
        <v>16</v>
      </c>
      <c r="B4" s="304">
        <v>45932</v>
      </c>
      <c r="C4" s="38"/>
      <c r="D4" s="11"/>
      <c r="E4" s="489"/>
      <c r="F4" s="8">
        <f>F3-F2+1</f>
        <v>731</v>
      </c>
      <c r="G4" s="222" t="s">
        <v>151</v>
      </c>
      <c r="I4" s="8">
        <f>I3-I2+1</f>
        <v>90</v>
      </c>
      <c r="K4" s="107"/>
      <c r="AF4" s="8"/>
      <c r="AG4" s="7"/>
      <c r="AH4" s="7"/>
      <c r="AJ4" s="7"/>
      <c r="AK4" s="7"/>
      <c r="AL4" s="7"/>
    </row>
    <row r="5" spans="1:38" ht="30.75" thickBot="1">
      <c r="A5" s="37"/>
      <c r="B5" s="36"/>
      <c r="C5" s="300" t="s">
        <v>73</v>
      </c>
      <c r="D5" s="35" t="s">
        <v>181</v>
      </c>
      <c r="E5" s="194" t="s">
        <v>109</v>
      </c>
      <c r="F5" s="194" t="s">
        <v>110</v>
      </c>
      <c r="G5" s="35" t="s">
        <v>136</v>
      </c>
      <c r="H5" s="35" t="s">
        <v>137</v>
      </c>
      <c r="I5" s="35" t="s">
        <v>138</v>
      </c>
      <c r="J5" s="34" t="s">
        <v>107</v>
      </c>
      <c r="K5" s="194" t="s">
        <v>111</v>
      </c>
      <c r="L5" s="194" t="s">
        <v>112</v>
      </c>
      <c r="M5" s="35" t="s">
        <v>133</v>
      </c>
      <c r="N5" s="35" t="s">
        <v>134</v>
      </c>
      <c r="O5" s="193" t="s">
        <v>135</v>
      </c>
      <c r="P5" s="34" t="s">
        <v>108</v>
      </c>
      <c r="Q5" s="340" t="s">
        <v>113</v>
      </c>
      <c r="AG5" s="7"/>
      <c r="AH5" s="7"/>
      <c r="AJ5" s="7"/>
      <c r="AK5" s="7"/>
      <c r="AL5" s="7"/>
    </row>
    <row r="6" spans="1:38" ht="25.5" customHeight="1">
      <c r="A6" s="33"/>
      <c r="B6" s="32"/>
      <c r="C6" s="630" t="s">
        <v>185</v>
      </c>
      <c r="D6" s="295" t="s">
        <v>212</v>
      </c>
      <c r="E6" s="294">
        <f t="shared" ref="E6:E19" si="0">K6*1.21</f>
        <v>188820.5</v>
      </c>
      <c r="F6" s="294">
        <f t="shared" ref="F6:F19" si="1">L6*1.21</f>
        <v>188820.5</v>
      </c>
      <c r="G6" s="293">
        <f>CalculPressup[[#This Row],[import 2023
IVA exc]]*1.21</f>
        <v>46558.479452054795</v>
      </c>
      <c r="H6" s="293">
        <f>CalculPressup[[#This Row],[import 2024
IVA exc]]*1.21</f>
        <v>188820.5</v>
      </c>
      <c r="I6" s="293">
        <f>CalculPressup[[#This Row],[import 2025
IVA exc]]*1.21</f>
        <v>142262.0205479452</v>
      </c>
      <c r="J6" s="293">
        <f>SUM(CalculPressup[[#This Row],[import 2023
IVA inc]:[import 2025
IVA inc]])</f>
        <v>377641</v>
      </c>
      <c r="K6" s="294">
        <f>MROUND(Infraestructura!D22,10)</f>
        <v>156050</v>
      </c>
      <c r="L6" s="294">
        <f>MROUND(Infraestructura!D22,10)</f>
        <v>156050</v>
      </c>
      <c r="M6" s="293">
        <f>(CalculPressup[[#This Row],[import 1r any
IVA exc]]/365)*$I$4</f>
        <v>38478.082191780821</v>
      </c>
      <c r="N6" s="293">
        <f>(CalculPressup[[#This Row],[import 1r any
IVA exc]]-CalculPressup[[#This Row],[import 2023
IVA exc]])+(CalculPressup[[#This Row],[import 2n any
IVA exc]]/365)*$I$4</f>
        <v>156050</v>
      </c>
      <c r="O6" s="292">
        <f>(CalculPressup[[#This Row],[import 1r any
IVA exc]]+CalculPressup[[#This Row],[import 2n any
IVA exc]])-(CalculPressup[[#This Row],[import 2023
IVA exc]]+CalculPressup[[#This Row],[import 2024
IVA exc]])</f>
        <v>117571.91780821918</v>
      </c>
      <c r="P6" s="291">
        <f>SUM(CalculPressup[[#This Row],[import 2023
IVA exc]:[import 2025
IVA exc]])</f>
        <v>312100</v>
      </c>
      <c r="Q6" s="337">
        <f>(CalculPressup[[#This Row],[Import Total 
IVA exclòs]]/2)/12</f>
        <v>13004.166666666666</v>
      </c>
      <c r="S6" s="639" t="s">
        <v>155</v>
      </c>
      <c r="T6" s="639"/>
      <c r="AG6" s="7"/>
      <c r="AH6" s="7"/>
      <c r="AI6" s="31"/>
      <c r="AJ6" s="31"/>
      <c r="AK6" s="7"/>
      <c r="AL6" s="7"/>
    </row>
    <row r="7" spans="1:38">
      <c r="A7" s="33"/>
      <c r="B7" s="32"/>
      <c r="C7" s="632"/>
      <c r="D7" s="301" t="s">
        <v>88</v>
      </c>
      <c r="E7" s="296">
        <f t="shared" si="0"/>
        <v>302500</v>
      </c>
      <c r="F7" s="296">
        <f t="shared" si="1"/>
        <v>0</v>
      </c>
      <c r="G7" s="286">
        <f>CalculPressup[[#This Row],[import 2023
IVA exc]]*1.21</f>
        <v>74589.041095890396</v>
      </c>
      <c r="H7" s="286">
        <f>CalculPressup[[#This Row],[import 2024
IVA exc]]*1.21-0.01</f>
        <v>227910.94890410957</v>
      </c>
      <c r="I7" s="286">
        <f>CalculPressup[[#This Row],[import 2025
IVA exc]]*1.21</f>
        <v>0</v>
      </c>
      <c r="J7" s="286">
        <f>SUM(CalculPressup[[#This Row],[import 2023
IVA inc]:[import 2025
IVA inc]])-0.01</f>
        <v>302499.98</v>
      </c>
      <c r="K7" s="296">
        <v>250000</v>
      </c>
      <c r="L7" s="296">
        <v>0</v>
      </c>
      <c r="M7" s="286">
        <f>(CalculPressup[[#This Row],[import 1r any
IVA exc]]/365)*$I$4</f>
        <v>61643.835616438351</v>
      </c>
      <c r="N7" s="286">
        <f>(CalculPressup[[#This Row],[import 1r any
IVA exc]]-CalculPressup[[#This Row],[import 2023
IVA exc]])+(CalculPressup[[#This Row],[import 2n any
IVA exc]]/365)*$I$4</f>
        <v>188356.16438356164</v>
      </c>
      <c r="O7" s="299">
        <f>(CalculPressup[[#This Row],[import 1r any
IVA exc]]+CalculPressup[[#This Row],[import 2n any
IVA exc]])-(CalculPressup[[#This Row],[import 2023
IVA exc]]+CalculPressup[[#This Row],[import 2024
IVA exc]])</f>
        <v>0</v>
      </c>
      <c r="P7" s="290">
        <f>SUM(CalculPressup[[#This Row],[import 2023
IVA exc]:[import 2025
IVA exc]])</f>
        <v>250000</v>
      </c>
      <c r="Q7" s="337">
        <f>(CalculPressup[[#This Row],[Import Total 
IVA exclòs]]/2)/12</f>
        <v>10416.666666666666</v>
      </c>
      <c r="R7" s="8"/>
      <c r="S7" s="640" t="s">
        <v>229</v>
      </c>
      <c r="T7" s="640"/>
      <c r="AG7" s="7"/>
      <c r="AH7" s="7"/>
      <c r="AI7" s="31"/>
      <c r="AJ7" s="31"/>
      <c r="AK7" s="7"/>
      <c r="AL7" s="7"/>
    </row>
    <row r="8" spans="1:38" ht="15.75" thickBot="1">
      <c r="C8" s="633"/>
      <c r="D8" s="490" t="s">
        <v>157</v>
      </c>
      <c r="E8" s="323">
        <f>K8*1.21</f>
        <v>60500</v>
      </c>
      <c r="F8" s="323">
        <f>L8*1.21</f>
        <v>60500</v>
      </c>
      <c r="G8" s="314">
        <f>CalculPressup[[#This Row],[import 2023
IVA exc]]*1.21</f>
        <v>14917.808219178081</v>
      </c>
      <c r="H8" s="314">
        <f>CalculPressup[[#This Row],[import 2024
IVA exc]]*1.21</f>
        <v>60500</v>
      </c>
      <c r="I8" s="314">
        <f>CalculPressup[[#This Row],[import 2025
IVA exc]]*1.21</f>
        <v>45582.191780821915</v>
      </c>
      <c r="J8" s="313">
        <f>SUM(CalculPressup[[#This Row],[import 2023
IVA inc]:[import 2025
IVA inc]])</f>
        <v>121000</v>
      </c>
      <c r="K8" s="323">
        <v>50000</v>
      </c>
      <c r="L8" s="323">
        <v>50000</v>
      </c>
      <c r="M8" s="314">
        <f>(CalculPressup[[#This Row],[import 1r any
IVA exc]]/365)*$I$4</f>
        <v>12328.767123287671</v>
      </c>
      <c r="N8" s="313">
        <f>(CalculPressup[[#This Row],[import 1r any
IVA exc]]-CalculPressup[[#This Row],[import 2023
IVA exc]])+(CalculPressup[[#This Row],[import 2n any
IVA exc]]/365)*$I$4</f>
        <v>50000</v>
      </c>
      <c r="O8" s="314">
        <f>(CalculPressup[[#This Row],[import 1r any
IVA exc]]+CalculPressup[[#This Row],[import 2n any
IVA exc]])-(CalculPressup[[#This Row],[import 2023
IVA exc]]+CalculPressup[[#This Row],[import 2024
IVA exc]])</f>
        <v>37671.232876712325</v>
      </c>
      <c r="P8" s="324">
        <f>SUM(CalculPressup[[#This Row],[import 2023
IVA exc]:[import 2025
IVA exc]])</f>
        <v>100000</v>
      </c>
      <c r="Q8" s="337">
        <f>(CalculPressup[[#This Row],[Import Total 
IVA exclòs]]/2)/12</f>
        <v>4166.666666666667</v>
      </c>
      <c r="R8" s="8"/>
      <c r="S8" s="639" t="s">
        <v>157</v>
      </c>
      <c r="T8" s="639"/>
      <c r="AG8" s="7"/>
      <c r="AH8" s="7"/>
      <c r="AI8" s="30"/>
      <c r="AJ8" s="30"/>
      <c r="AK8" s="7"/>
      <c r="AL8" s="7"/>
    </row>
    <row r="9" spans="1:38" s="303" customFormat="1" ht="17.25" thickTop="1" thickBot="1">
      <c r="B9" s="307"/>
      <c r="C9" s="289" t="s">
        <v>47</v>
      </c>
      <c r="D9" s="308" t="s">
        <v>186</v>
      </c>
      <c r="E9" s="309"/>
      <c r="F9" s="309"/>
      <c r="G9" s="288"/>
      <c r="H9" s="288"/>
      <c r="I9" s="288"/>
      <c r="J9" s="297">
        <f>SUM(J6:J8)</f>
        <v>801140.98</v>
      </c>
      <c r="K9" s="309"/>
      <c r="L9" s="309"/>
      <c r="M9" s="288"/>
      <c r="N9" s="288"/>
      <c r="O9" s="288"/>
      <c r="P9" s="287">
        <f>SUM(P6:P8)</f>
        <v>662100</v>
      </c>
      <c r="Q9" s="338"/>
      <c r="R9" s="492"/>
      <c r="S9" s="310"/>
      <c r="T9" s="310"/>
      <c r="AI9" s="27"/>
      <c r="AJ9" s="27"/>
    </row>
    <row r="10" spans="1:38" ht="15.75" customHeight="1">
      <c r="C10" s="630" t="s">
        <v>182</v>
      </c>
      <c r="D10" s="305" t="s">
        <v>86</v>
      </c>
      <c r="E10" s="294">
        <f t="shared" si="0"/>
        <v>60500</v>
      </c>
      <c r="F10" s="294">
        <f t="shared" si="1"/>
        <v>121000</v>
      </c>
      <c r="G10" s="293">
        <f>CalculPressup[[#This Row],[import 2023
IVA exc]]*1.21</f>
        <v>14917.808219178081</v>
      </c>
      <c r="H10" s="293">
        <f>CalculPressup[[#This Row],[import 2024
IVA exc]]*1.21</f>
        <v>75417.80821917807</v>
      </c>
      <c r="I10" s="293">
        <f>CalculPressup[[#This Row],[import 2025
IVA exc]]*1.21</f>
        <v>91164.382351643842</v>
      </c>
      <c r="J10" s="293">
        <f>SUM(CalculPressup[[#This Row],[import 2023
IVA inc]:[import 2025
IVA inc]])</f>
        <v>181499.99878999998</v>
      </c>
      <c r="K10" s="294">
        <v>50000</v>
      </c>
      <c r="L10" s="294">
        <v>100000</v>
      </c>
      <c r="M10" s="293">
        <f>(CalculPressup[[#This Row],[import 1r any
IVA exc]]/365)*$I$4</f>
        <v>12328.767123287671</v>
      </c>
      <c r="N10" s="293">
        <f>(CalculPressup[[#This Row],[import 1r any
IVA exc]]-CalculPressup[[#This Row],[import 2023
IVA exc]])+(CalculPressup[[#This Row],[import 2n any
IVA exc]]/365)*$I$4</f>
        <v>62328.767123287667</v>
      </c>
      <c r="O10" s="292">
        <f>(CalculPressup[[#This Row],[import 1r any
IVA exc]]+CalculPressup[[#This Row],[import 2n any
IVA exc]])-(CalculPressup[[#This Row],[import 2023
IVA exc]]+CalculPressup[[#This Row],[import 2024
IVA exc]])-0.001</f>
        <v>75342.464753424661</v>
      </c>
      <c r="P10" s="291">
        <f>SUM(CalculPressup[[#This Row],[import 2023
IVA exc]:[import 2025
IVA exc]])</f>
        <v>149999.99900000001</v>
      </c>
      <c r="Q10" s="337">
        <f>(CalculPressup[[#This Row],[Import Total 
IVA exclòs]]/2)/12</f>
        <v>6249.9999583333338</v>
      </c>
      <c r="R10" s="8"/>
      <c r="S10" s="637" t="s">
        <v>86</v>
      </c>
      <c r="T10" s="637"/>
      <c r="AG10" s="7"/>
      <c r="AH10" s="7"/>
      <c r="AI10" s="30"/>
      <c r="AJ10" s="30"/>
      <c r="AK10" s="7"/>
      <c r="AL10" s="7"/>
    </row>
    <row r="11" spans="1:38" ht="16.5" thickBot="1">
      <c r="C11" s="633"/>
      <c r="D11" s="311" t="s">
        <v>87</v>
      </c>
      <c r="E11" s="312">
        <f t="shared" si="0"/>
        <v>0</v>
      </c>
      <c r="F11" s="312">
        <f t="shared" si="1"/>
        <v>181500</v>
      </c>
      <c r="G11" s="313">
        <f>CalculPressup[[#This Row],[import 2023
IVA exc]]*1.21</f>
        <v>0</v>
      </c>
      <c r="H11" s="313">
        <f>CalculPressup[[#This Row],[import 2024
IVA exc]]*1.21</f>
        <v>44753.42465753424</v>
      </c>
      <c r="I11" s="313">
        <f>CalculPressup[[#This Row],[import 2025
IVA exc]]*1.21</f>
        <v>136746.57534246575</v>
      </c>
      <c r="J11" s="313">
        <f>SUM(CalculPressup[[#This Row],[import 2023
IVA inc]:[import 2025
IVA inc]])</f>
        <v>181500</v>
      </c>
      <c r="K11" s="312">
        <v>0</v>
      </c>
      <c r="L11" s="312">
        <v>150000</v>
      </c>
      <c r="M11" s="313">
        <f>(CalculPressup[[#This Row],[import 1r any
IVA exc]]/365)*$I$4</f>
        <v>0</v>
      </c>
      <c r="N11" s="313">
        <f>(CalculPressup[[#This Row],[import 1r any
IVA exc]]-CalculPressup[[#This Row],[import 2023
IVA exc]])+(CalculPressup[[#This Row],[import 2n any
IVA exc]]/365)*$I$4</f>
        <v>36986.301369863009</v>
      </c>
      <c r="O11" s="314">
        <f>(CalculPressup[[#This Row],[import 1r any
IVA exc]]+CalculPressup[[#This Row],[import 2n any
IVA exc]])-(CalculPressup[[#This Row],[import 2023
IVA exc]]+CalculPressup[[#This Row],[import 2024
IVA exc]])</f>
        <v>113013.69863013699</v>
      </c>
      <c r="P11" s="321">
        <f>SUM(CalculPressup[[#This Row],[import 2023
IVA exc]:[import 2025
IVA exc]])</f>
        <v>150000</v>
      </c>
      <c r="Q11" s="337">
        <f>(CalculPressup[[#This Row],[Import Total 
IVA exclòs]]/2)/12</f>
        <v>6250</v>
      </c>
      <c r="R11" s="8"/>
      <c r="S11" s="638" t="s">
        <v>87</v>
      </c>
      <c r="T11" s="638"/>
      <c r="AG11" s="7"/>
      <c r="AH11" s="7"/>
      <c r="AI11" s="30"/>
      <c r="AJ11" s="30"/>
      <c r="AK11" s="7"/>
      <c r="AL11" s="7"/>
    </row>
    <row r="12" spans="1:38" s="303" customFormat="1" ht="17.25" thickTop="1" thickBot="1">
      <c r="B12" s="307"/>
      <c r="C12" s="289" t="s">
        <v>47</v>
      </c>
      <c r="D12" s="308" t="s">
        <v>187</v>
      </c>
      <c r="E12" s="309"/>
      <c r="F12" s="309"/>
      <c r="G12" s="288"/>
      <c r="H12" s="288"/>
      <c r="I12" s="288"/>
      <c r="J12" s="297">
        <f>SUM(J10:J11)</f>
        <v>362999.99878999998</v>
      </c>
      <c r="K12" s="309"/>
      <c r="L12" s="309"/>
      <c r="M12" s="288"/>
      <c r="N12" s="288"/>
      <c r="O12" s="288"/>
      <c r="P12" s="287">
        <f>SUM(P10:P11)</f>
        <v>299999.99900000001</v>
      </c>
      <c r="Q12" s="338"/>
      <c r="R12" s="492"/>
      <c r="S12" s="310"/>
      <c r="T12" s="310"/>
      <c r="AI12" s="27"/>
      <c r="AJ12" s="27"/>
    </row>
    <row r="13" spans="1:38" ht="15.75" thickBot="1">
      <c r="C13" s="325" t="s">
        <v>77</v>
      </c>
      <c r="D13" s="326" t="s">
        <v>77</v>
      </c>
      <c r="E13" s="327">
        <f t="shared" si="0"/>
        <v>465850</v>
      </c>
      <c r="F13" s="327">
        <f t="shared" si="1"/>
        <v>465850</v>
      </c>
      <c r="G13" s="328">
        <f>CalculPressup[[#This Row],[import 2023
IVA exc]]*1.21</f>
        <v>114867.12328767123</v>
      </c>
      <c r="H13" s="328">
        <f>CalculPressup[[#This Row],[import 2024
IVA exc]]*1.21</f>
        <v>465850</v>
      </c>
      <c r="I13" s="328">
        <f>CalculPressup[[#This Row],[import 2025
IVA exc]]*1.21</f>
        <v>350982.87671232875</v>
      </c>
      <c r="J13" s="328">
        <f>SUM(CalculPressup[[#This Row],[import 2023
IVA inc]:[import 2025
IVA inc]])</f>
        <v>931700</v>
      </c>
      <c r="K13" s="327">
        <v>385000</v>
      </c>
      <c r="L13" s="327">
        <v>385000</v>
      </c>
      <c r="M13" s="328">
        <f>(CalculPressup[[#This Row],[import 1r any
IVA exc]]/365)*$I$4</f>
        <v>94931.506849315076</v>
      </c>
      <c r="N13" s="328">
        <f>(CalculPressup[[#This Row],[import 1r any
IVA exc]]-CalculPressup[[#This Row],[import 2023
IVA exc]])+(CalculPressup[[#This Row],[import 2n any
IVA exc]]/365)*$I$4</f>
        <v>385000</v>
      </c>
      <c r="O13" s="329">
        <f>(CalculPressup[[#This Row],[import 1r any
IVA exc]]+CalculPressup[[#This Row],[import 2n any
IVA exc]])-(CalculPressup[[#This Row],[import 2023
IVA exc]]+CalculPressup[[#This Row],[import 2024
IVA exc]])</f>
        <v>290068.49315068492</v>
      </c>
      <c r="P13" s="330">
        <f>SUM(CalculPressup[[#This Row],[import 2023
IVA exc]:[import 2025
IVA exc]])</f>
        <v>770000</v>
      </c>
      <c r="Q13" s="337">
        <f>(CalculPressup[[#This Row],[Import Total 
IVA exclòs]]/2)/12</f>
        <v>32083.333333333332</v>
      </c>
      <c r="R13" s="8"/>
      <c r="S13" s="637" t="s">
        <v>77</v>
      </c>
      <c r="T13" s="637"/>
      <c r="AG13" s="7"/>
      <c r="AH13" s="7"/>
      <c r="AI13" s="30"/>
      <c r="AJ13" s="30"/>
      <c r="AK13" s="7"/>
      <c r="AL13" s="7"/>
    </row>
    <row r="14" spans="1:38" s="303" customFormat="1" ht="17.25" thickTop="1" thickBot="1">
      <c r="B14" s="307"/>
      <c r="C14" s="322" t="s">
        <v>47</v>
      </c>
      <c r="D14" s="316" t="s">
        <v>188</v>
      </c>
      <c r="E14" s="317"/>
      <c r="F14" s="317"/>
      <c r="G14" s="298"/>
      <c r="H14" s="298"/>
      <c r="I14" s="298"/>
      <c r="J14" s="318">
        <f>SUM(J13)</f>
        <v>931700</v>
      </c>
      <c r="K14" s="317"/>
      <c r="L14" s="317"/>
      <c r="M14" s="298"/>
      <c r="N14" s="298"/>
      <c r="O14" s="298"/>
      <c r="P14" s="319">
        <f>SUM(P13)</f>
        <v>770000</v>
      </c>
      <c r="Q14" s="338"/>
      <c r="R14" s="492"/>
      <c r="S14" s="310"/>
      <c r="T14" s="310"/>
      <c r="V14" s="303">
        <f>1000*2+500*4+250*8</f>
        <v>6000</v>
      </c>
      <c r="AI14" s="27"/>
      <c r="AJ14" s="27"/>
    </row>
    <row r="15" spans="1:38" ht="15.75">
      <c r="C15" s="630" t="s">
        <v>183</v>
      </c>
      <c r="D15" s="305" t="s">
        <v>79</v>
      </c>
      <c r="E15" s="294">
        <f t="shared" si="0"/>
        <v>544500</v>
      </c>
      <c r="F15" s="294">
        <f t="shared" si="1"/>
        <v>0</v>
      </c>
      <c r="G15" s="293">
        <f>CalculPressup[[#This Row],[import 2023
IVA exc]]*1.21</f>
        <v>134260.27397260274</v>
      </c>
      <c r="H15" s="293">
        <f>CalculPressup[[#This Row],[import 2024
IVA exc]]*1.21</f>
        <v>410239.72602739721</v>
      </c>
      <c r="I15" s="293">
        <f>CalculPressup[[#This Row],[import 2025
IVA exc]]*1.21</f>
        <v>0</v>
      </c>
      <c r="J15" s="293">
        <f>SUM(CalculPressup[[#This Row],[import 2023
IVA inc]:[import 2025
IVA inc]])</f>
        <v>544500</v>
      </c>
      <c r="K15" s="294">
        <v>450000</v>
      </c>
      <c r="L15" s="294">
        <v>0</v>
      </c>
      <c r="M15" s="293">
        <f>(CalculPressup[[#This Row],[import 1r any
IVA exc]]/365)*$I$4</f>
        <v>110958.90410958904</v>
      </c>
      <c r="N15" s="293">
        <f>(CalculPressup[[#This Row],[import 1r any
IVA exc]]-CalculPressup[[#This Row],[import 2023
IVA exc]])+(CalculPressup[[#This Row],[import 2n any
IVA exc]]/365)*$I$4</f>
        <v>339041.09589041094</v>
      </c>
      <c r="O15" s="292">
        <f>(CalculPressup[[#This Row],[import 1r any
IVA exc]]+CalculPressup[[#This Row],[import 2n any
IVA exc]])-(CalculPressup[[#This Row],[import 2023
IVA exc]]+CalculPressup[[#This Row],[import 2024
IVA exc]])</f>
        <v>0</v>
      </c>
      <c r="P15" s="291">
        <f>SUM(CalculPressup[[#This Row],[import 2023
IVA exc]:[import 2025
IVA exc]])</f>
        <v>450000</v>
      </c>
      <c r="Q15" s="337">
        <f>(CalculPressup[[#This Row],[Import Total 
IVA exclòs]]/2)/12</f>
        <v>18750</v>
      </c>
      <c r="R15" s="8"/>
      <c r="S15" s="637" t="s">
        <v>79</v>
      </c>
      <c r="T15" s="637"/>
      <c r="U15" s="509">
        <f>CalculPressup[[#This Row],[Import Total 
IVA exclòs]]/H54</f>
        <v>5598.4075640706651</v>
      </c>
      <c r="V15" s="228" t="s">
        <v>220</v>
      </c>
      <c r="AG15" s="7"/>
      <c r="AH15" s="7"/>
      <c r="AI15" s="30"/>
      <c r="AJ15" s="30"/>
      <c r="AK15" s="7"/>
      <c r="AL15" s="7"/>
    </row>
    <row r="16" spans="1:38" ht="16.5" thickBot="1">
      <c r="C16" s="633"/>
      <c r="D16" s="490" t="s">
        <v>74</v>
      </c>
      <c r="E16" s="312">
        <f t="shared" si="0"/>
        <v>211750</v>
      </c>
      <c r="F16" s="312">
        <f t="shared" si="1"/>
        <v>332750</v>
      </c>
      <c r="G16" s="313">
        <f>CalculPressup[[#This Row],[import 2023
IVA exc]]*1.21</f>
        <v>52212.32876712329</v>
      </c>
      <c r="H16" s="313">
        <f>CalculPressup[[#This Row],[import 2024
IVA exc]]*1.21</f>
        <v>241585.61764835613</v>
      </c>
      <c r="I16" s="313">
        <f>CalculPressup[[#This Row],[import 2025
IVA exc]]*1.21</f>
        <v>250702.05358452056</v>
      </c>
      <c r="J16" s="313">
        <f>SUM(CalculPressup[[#This Row],[import 2023
IVA inc]:[import 2025
IVA inc]])</f>
        <v>544500</v>
      </c>
      <c r="K16" s="312">
        <v>175000</v>
      </c>
      <c r="L16" s="312">
        <v>275000</v>
      </c>
      <c r="M16" s="313">
        <f>(CalculPressup[[#This Row],[import 1r any
IVA exc]]/365)*$I$4</f>
        <v>43150.684931506854</v>
      </c>
      <c r="N16" s="313">
        <f>(CalculPressup[[#This Row],[import 1r any
IVA exc]]-CalculPressup[[#This Row],[import 2023
IVA exc]])+(CalculPressup[[#This Row],[import 2n any
IVA exc]]/365)*$I$4+0.001</f>
        <v>199657.53524657531</v>
      </c>
      <c r="O16" s="314">
        <f>(CalculPressup[[#This Row],[import 1r any
IVA exc]]+CalculPressup[[#This Row],[import 2n any
IVA exc]])-(CalculPressup[[#This Row],[import 2023
IVA exc]]+CalculPressup[[#This Row],[import 2024
IVA exc]])</f>
        <v>207191.77982191782</v>
      </c>
      <c r="P16" s="321">
        <f>SUM(CalculPressup[[#This Row],[import 2023
IVA exc]:[import 2025
IVA exc]])</f>
        <v>450000</v>
      </c>
      <c r="Q16" s="337">
        <f>(CalculPressup[[#This Row],[Import Total 
IVA exclòs]]/2)/12</f>
        <v>18750</v>
      </c>
      <c r="R16" s="8"/>
      <c r="S16" s="638" t="s">
        <v>74</v>
      </c>
      <c r="T16" s="638"/>
      <c r="U16" s="509">
        <f>CalculPressup[[#This Row],[Import Total 
IVA exclòs]]/K55</f>
        <v>6012.8273650454312</v>
      </c>
      <c r="V16" s="228" t="s">
        <v>221</v>
      </c>
      <c r="AG16" s="7"/>
      <c r="AH16" s="7"/>
      <c r="AI16" s="30"/>
      <c r="AJ16" s="30"/>
      <c r="AK16" s="7"/>
      <c r="AL16" s="7"/>
    </row>
    <row r="17" spans="2:38" s="303" customFormat="1" ht="17.25" thickTop="1" thickBot="1">
      <c r="B17" s="307"/>
      <c r="C17" s="322" t="s">
        <v>47</v>
      </c>
      <c r="D17" s="316" t="s">
        <v>189</v>
      </c>
      <c r="E17" s="317"/>
      <c r="F17" s="317"/>
      <c r="G17" s="298"/>
      <c r="H17" s="298"/>
      <c r="I17" s="298"/>
      <c r="J17" s="318">
        <f>SUM(J15:J16)</f>
        <v>1089000</v>
      </c>
      <c r="K17" s="317"/>
      <c r="L17" s="317"/>
      <c r="M17" s="298"/>
      <c r="N17" s="298"/>
      <c r="O17" s="298"/>
      <c r="P17" s="319">
        <f>SUM(P15:P16)</f>
        <v>900000</v>
      </c>
      <c r="Q17" s="338"/>
      <c r="R17" s="492"/>
      <c r="S17" s="310"/>
      <c r="T17" s="310"/>
      <c r="V17" s="303">
        <f>800*3+300*3+100*3</f>
        <v>3600</v>
      </c>
      <c r="AI17" s="27"/>
      <c r="AJ17" s="27"/>
    </row>
    <row r="18" spans="2:38" ht="15" customHeight="1">
      <c r="C18" s="630" t="s">
        <v>184</v>
      </c>
      <c r="D18" s="305" t="s">
        <v>75</v>
      </c>
      <c r="E18" s="294">
        <f t="shared" si="0"/>
        <v>121000</v>
      </c>
      <c r="F18" s="294">
        <f t="shared" si="1"/>
        <v>121000</v>
      </c>
      <c r="G18" s="293">
        <f>CalculPressup[[#This Row],[import 2023
IVA exc]]*1.21</f>
        <v>29835.616438356163</v>
      </c>
      <c r="H18" s="293">
        <f>CalculPressup[[#This Row],[import 2024
IVA exc]]*1.21</f>
        <v>121000</v>
      </c>
      <c r="I18" s="293">
        <f>CalculPressup[[#This Row],[import 2025
IVA exc]]*1.21</f>
        <v>91164.38356164383</v>
      </c>
      <c r="J18" s="293">
        <f>SUM(CalculPressup[[#This Row],[import 2023
IVA inc]:[import 2025
IVA inc]])</f>
        <v>242000</v>
      </c>
      <c r="K18" s="294">
        <v>100000</v>
      </c>
      <c r="L18" s="294">
        <v>100000</v>
      </c>
      <c r="M18" s="320">
        <f>(CalculPressup[[#This Row],[import 1r any
IVA exc]]/365)*$I$4</f>
        <v>24657.534246575342</v>
      </c>
      <c r="N18" s="293">
        <f>(CalculPressup[[#This Row],[import 1r any
IVA exc]]-CalculPressup[[#This Row],[import 2023
IVA exc]])+(CalculPressup[[#This Row],[import 2n any
IVA exc]]/365)*$I$4</f>
        <v>100000</v>
      </c>
      <c r="O18" s="292">
        <f>(CalculPressup[[#This Row],[import 1r any
IVA exc]]+CalculPressup[[#This Row],[import 2n any
IVA exc]])-(CalculPressup[[#This Row],[import 2023
IVA exc]]+CalculPressup[[#This Row],[import 2024
IVA exc]])</f>
        <v>75342.465753424651</v>
      </c>
      <c r="P18" s="291">
        <f>SUM(CalculPressup[[#This Row],[import 2023
IVA exc]:[import 2025
IVA exc]])</f>
        <v>200000</v>
      </c>
      <c r="Q18" s="337">
        <f>(CalculPressup[[#This Row],[Import Total 
IVA exclòs]]/2)/12</f>
        <v>8333.3333333333339</v>
      </c>
      <c r="R18" s="8"/>
      <c r="S18" s="637" t="s">
        <v>75</v>
      </c>
      <c r="T18" s="637"/>
      <c r="AG18" s="7"/>
      <c r="AH18" s="7"/>
      <c r="AJ18" s="7"/>
      <c r="AK18" s="7"/>
      <c r="AL18" s="7"/>
    </row>
    <row r="19" spans="2:38" ht="15.75" thickBot="1">
      <c r="C19" s="631"/>
      <c r="D19" s="311" t="s">
        <v>129</v>
      </c>
      <c r="E19" s="312">
        <f t="shared" si="0"/>
        <v>0</v>
      </c>
      <c r="F19" s="312">
        <f t="shared" si="1"/>
        <v>30249.999974791666</v>
      </c>
      <c r="G19" s="313">
        <f>CalculPressup[[#This Row],[import 2023
IVA exc]]*1.21</f>
        <v>0</v>
      </c>
      <c r="H19" s="313">
        <f>CalculPressup[[#This Row],[import 2024
IVA exc]]*1.21</f>
        <v>0</v>
      </c>
      <c r="I19" s="313">
        <f>CalculPressup[[#This Row],[import 2025
IVA exc]]*1.21</f>
        <v>30249.999974791666</v>
      </c>
      <c r="J19" s="313">
        <f>SUM(CalculPressup[[#This Row],[import 2023
IVA inc]:[import 2025
IVA inc]])</f>
        <v>30249.999974791666</v>
      </c>
      <c r="K19" s="312">
        <v>0</v>
      </c>
      <c r="L19" s="312">
        <f>(Q10+Q11+Q15+Q16)/2</f>
        <v>24999.999979166667</v>
      </c>
      <c r="M19" s="315">
        <f>(CalculPressup[[#This Row],[import 1r any
IVA exc]]/365)*$I$4</f>
        <v>0</v>
      </c>
      <c r="N19" s="313">
        <f>0</f>
        <v>0</v>
      </c>
      <c r="O19" s="314">
        <f>(CalculPressup[[#This Row],[import 1r any
IVA exc]]+CalculPressup[[#This Row],[import 2n any
IVA exc]])-(CalculPressup[[#This Row],[import 2023
IVA exc]]+CalculPressup[[#This Row],[import 2024
IVA exc]])</f>
        <v>24999.999979166667</v>
      </c>
      <c r="P19" s="321">
        <f>SUM(CalculPressup[[#This Row],[import 2023
IVA exc]:[import 2025
IVA exc]])</f>
        <v>24999.999979166667</v>
      </c>
      <c r="Q19" s="337"/>
      <c r="R19" s="8"/>
      <c r="S19" s="638" t="s">
        <v>129</v>
      </c>
      <c r="T19" s="638"/>
      <c r="AG19" s="7"/>
      <c r="AH19" s="7"/>
      <c r="AJ19" s="7"/>
      <c r="AK19" s="7"/>
      <c r="AL19" s="7"/>
    </row>
    <row r="20" spans="2:38" s="303" customFormat="1" ht="17.25" thickTop="1" thickBot="1">
      <c r="B20" s="307"/>
      <c r="C20" s="306" t="s">
        <v>47</v>
      </c>
      <c r="D20" s="308" t="s">
        <v>190</v>
      </c>
      <c r="E20" s="309"/>
      <c r="F20" s="309"/>
      <c r="G20" s="288"/>
      <c r="H20" s="288"/>
      <c r="I20" s="288"/>
      <c r="J20" s="297">
        <f>SUM(J18:J19)</f>
        <v>272249.99997479166</v>
      </c>
      <c r="K20" s="309"/>
      <c r="L20" s="309"/>
      <c r="M20" s="288"/>
      <c r="N20" s="288"/>
      <c r="O20" s="288"/>
      <c r="P20" s="287">
        <f>SUM(P18:P19)</f>
        <v>224999.99997916666</v>
      </c>
      <c r="Q20" s="338"/>
      <c r="R20" s="492"/>
      <c r="S20" s="310"/>
      <c r="T20" s="310"/>
    </row>
    <row r="21" spans="2:38" s="269" customFormat="1" ht="16.5" thickBot="1">
      <c r="B21" s="331"/>
      <c r="C21" s="332"/>
      <c r="D21" s="333" t="s">
        <v>14</v>
      </c>
      <c r="E21" s="334">
        <f>SUBTOTAL(109,CalculPressup[Import 1r any
IVA inc])</f>
        <v>1955420.5</v>
      </c>
      <c r="F21" s="334">
        <f>SUBTOTAL(109,CalculPressup[Import 2n any
IVA inc])</f>
        <v>1501670.4999747917</v>
      </c>
      <c r="G21" s="335">
        <f>SUBTOTAL(109,CalculPressup[import 2023
IVA inc])</f>
        <v>482158.47945205477</v>
      </c>
      <c r="H21" s="335">
        <f>SUBTOTAL(109,CalculPressup[import 2024
IVA inc])</f>
        <v>1836078.0254565752</v>
      </c>
      <c r="I21" s="335">
        <f>SUBTOTAL(109,CalculPressup[import 2025
IVA inc])</f>
        <v>1138854.4838561616</v>
      </c>
      <c r="J21" s="335">
        <f>J9+J12+J14+J17+J20</f>
        <v>3457090.978764792</v>
      </c>
      <c r="K21" s="334">
        <f>SUBTOTAL(109,CalculPressup[import 1r any
IVA exc])</f>
        <v>1616050</v>
      </c>
      <c r="L21" s="334">
        <f>SUBTOTAL(109,CalculPressup[import 2n any
IVA exc])</f>
        <v>1241049.9999791668</v>
      </c>
      <c r="M21" s="335">
        <f>SUBTOTAL(109,CalculPressup[import 2023
IVA exc])</f>
        <v>398478.08219178085</v>
      </c>
      <c r="N21" s="335">
        <f>SUBTOTAL(109,CalculPressup[import 2024
IVA exc])+0.001</f>
        <v>1517419.8650136983</v>
      </c>
      <c r="O21" s="335">
        <f>SUBTOTAL(109,CalculPressup[import 2025
IVA exc])</f>
        <v>941202.05277368717</v>
      </c>
      <c r="P21" s="336">
        <f>P9+P12+P14+P17+P20</f>
        <v>2857099.9989791666</v>
      </c>
      <c r="Q21" s="339">
        <f>SUM(Q6:Q19)</f>
        <v>118004.166625</v>
      </c>
    </row>
    <row r="22" spans="2:38" s="108" customFormat="1">
      <c r="B22" s="109"/>
      <c r="C22" s="120"/>
      <c r="D22" s="110"/>
      <c r="E22" s="110"/>
      <c r="F22" s="111"/>
      <c r="G22" s="111"/>
      <c r="H22" s="112"/>
      <c r="I22" s="112"/>
      <c r="J22" s="112"/>
      <c r="K22" s="113"/>
    </row>
    <row r="23" spans="2:38" s="108" customFormat="1">
      <c r="B23" s="10"/>
      <c r="C23" s="29"/>
      <c r="D23" s="110"/>
      <c r="E23" s="110"/>
      <c r="F23" s="111"/>
      <c r="G23" s="111"/>
      <c r="H23" s="112"/>
      <c r="I23" s="112"/>
      <c r="J23" s="112"/>
      <c r="K23" s="113"/>
    </row>
    <row r="24" spans="2:38" ht="30">
      <c r="C24" s="29"/>
      <c r="D24" s="35" t="s">
        <v>82</v>
      </c>
      <c r="E24" s="194" t="s">
        <v>109</v>
      </c>
      <c r="F24" s="194" t="s">
        <v>110</v>
      </c>
      <c r="G24" s="35" t="s">
        <v>136</v>
      </c>
      <c r="H24" s="35" t="s">
        <v>137</v>
      </c>
      <c r="I24" s="35" t="s">
        <v>138</v>
      </c>
      <c r="J24" s="34" t="s">
        <v>15</v>
      </c>
      <c r="K24" s="194" t="s">
        <v>114</v>
      </c>
      <c r="L24" s="194" t="s">
        <v>115</v>
      </c>
      <c r="M24" s="193" t="s">
        <v>133</v>
      </c>
      <c r="N24" s="193" t="s">
        <v>134</v>
      </c>
      <c r="O24" s="193" t="s">
        <v>135</v>
      </c>
      <c r="P24" s="34" t="s">
        <v>108</v>
      </c>
      <c r="AG24" s="7"/>
      <c r="AH24" s="7"/>
      <c r="AJ24" s="7"/>
      <c r="AK24" s="7"/>
      <c r="AL24" s="7"/>
    </row>
    <row r="25" spans="2:38">
      <c r="C25" s="29"/>
      <c r="D25" s="110" t="s">
        <v>81</v>
      </c>
      <c r="E25" s="196">
        <f>K25*1.21</f>
        <v>326700</v>
      </c>
      <c r="F25" s="196">
        <f>L25*1.21</f>
        <v>326700</v>
      </c>
      <c r="G25" s="195">
        <f>Taula1[import 2023
IVA exc]*1.21</f>
        <v>80556.164383561641</v>
      </c>
      <c r="H25" s="195">
        <f>Taula1[import 2024
IVA exc]*1.21</f>
        <v>326700</v>
      </c>
      <c r="I25" s="195">
        <f>Taula1[import 2025
IVA exc]*1.21</f>
        <v>246143.83561643833</v>
      </c>
      <c r="J25" s="195">
        <f>SUM(Taula1[[import 2023
IVA inc]:[import 2025
IVA inc]])</f>
        <v>653400</v>
      </c>
      <c r="K25" s="196">
        <v>270000</v>
      </c>
      <c r="L25" s="196">
        <v>270000</v>
      </c>
      <c r="M25" s="197">
        <f>(Taula1[[#This Row],[Import 1r any
IVA exc]]/365)*$I$4</f>
        <v>66575.34246575342</v>
      </c>
      <c r="N25" s="197">
        <f>(Taula1[[#This Row],[Import 1r any
IVA exc]]-Taula1[[#This Row],[import 2023
IVA exc]])+(Taula1[[#This Row],[Import 2n any
IVA exc]]/365)*$I$4</f>
        <v>270000</v>
      </c>
      <c r="O25" s="197">
        <f>(Taula1[[#This Row],[Import 2n any
IVA exc]]/365)*(365-$I$4)</f>
        <v>203424.65753424657</v>
      </c>
      <c r="P25" s="197">
        <f>SUM(Taula1[[#This Row],[import 2023
IVA exc]:[import 2025
IVA exc]])</f>
        <v>540000</v>
      </c>
      <c r="Q25" s="337">
        <f>(Taula1[Import Total 
IVA exclòs]/2)/12</f>
        <v>22500</v>
      </c>
      <c r="AG25" s="7"/>
      <c r="AH25" s="7"/>
      <c r="AJ25" s="7"/>
      <c r="AK25" s="7"/>
      <c r="AL25" s="7"/>
    </row>
    <row r="26" spans="2:38" ht="15.75" thickBot="1">
      <c r="D26" s="303" t="s">
        <v>129</v>
      </c>
      <c r="E26" s="528">
        <f>Taula1[[#Totals],[Import 1r any
IVA exc]]*1.21</f>
        <v>0</v>
      </c>
      <c r="F26" s="528">
        <f>Taula1[[#Totals],[Import 2n any
IVA exc]]*1.21</f>
        <v>13612.5</v>
      </c>
      <c r="G26" s="528"/>
      <c r="H26" s="528"/>
      <c r="I26" s="528">
        <f>Taula1[[#Totals],[import 2025
IVA exc]]*1.21</f>
        <v>13612.5</v>
      </c>
      <c r="J26" s="528">
        <f>Taula1[[#Totals],[import 2025
IVA inc]]</f>
        <v>13612.5</v>
      </c>
      <c r="K26" s="554" t="s">
        <v>251</v>
      </c>
      <c r="L26" s="555">
        <f>Q25/2</f>
        <v>11250</v>
      </c>
      <c r="M26" s="556">
        <f>Taula1[[#Totals],[Import 1r any
IVA exc]]*$I$4</f>
        <v>0</v>
      </c>
      <c r="N26" s="528" t="s">
        <v>252</v>
      </c>
      <c r="O26" s="528">
        <f>(Taula1[[#Totals],[Import 2n any
IVA exc]])</f>
        <v>11250</v>
      </c>
      <c r="P26" s="528">
        <f>SUM(Taula1[[#Totals],[import 2023
IVA exc]:[import 2025
IVA exc]])</f>
        <v>11250</v>
      </c>
      <c r="Q26" s="337"/>
      <c r="S26" s="217"/>
      <c r="AG26" s="7"/>
      <c r="AH26" s="7"/>
      <c r="AJ26" s="7"/>
      <c r="AK26" s="7"/>
      <c r="AL26" s="7"/>
    </row>
    <row r="27" spans="2:38" ht="16.5" thickTop="1" thickBot="1">
      <c r="D27" s="553" t="s">
        <v>14</v>
      </c>
      <c r="E27" s="549">
        <f>SUM(Taula1[[#Data],[#Totals],[Import 1r any
IVA inc]])</f>
        <v>326700</v>
      </c>
      <c r="F27" s="549">
        <f>SUM(Taula1[[#Data],[#Totals],[Import 2n any
IVA inc]])</f>
        <v>340312.5</v>
      </c>
      <c r="G27" s="547">
        <f>SUBTOTAL(109,Taula1[import 2023
IVA inc])</f>
        <v>80556.164383561641</v>
      </c>
      <c r="H27" s="547">
        <f>SUBTOTAL(109,Taula1[import 2024
IVA inc])</f>
        <v>326700</v>
      </c>
      <c r="I27" s="547">
        <f>SUM(Taula1[[#Data],[#Totals],[import 2025
IVA inc]])</f>
        <v>259756.33561643833</v>
      </c>
      <c r="J27" s="548">
        <f>SUM(Taula1[[#Data],[#Totals],[Import Total IVA inclòs]])</f>
        <v>667012.5</v>
      </c>
      <c r="K27" s="549">
        <f>SUBTOTAL(109,Taula1[Import 1r any
IVA exc])</f>
        <v>270000</v>
      </c>
      <c r="L27" s="549">
        <f>SUM(Taula1[[#Data],[#Totals],[Import 2n any
IVA exc]])</f>
        <v>281250</v>
      </c>
      <c r="M27" s="550">
        <f>SUM(Taula1[[#Data],[#Totals],[import 2023
IVA exc]])</f>
        <v>66575.34246575342</v>
      </c>
      <c r="N27" s="547">
        <f>SUM(Taula1[[#Data],[#Totals],[import 2024
IVA exc]])</f>
        <v>270000</v>
      </c>
      <c r="O27" s="550">
        <f>SUM(Taula1[[#Data],[#Totals],[import 2025
IVA exc]])</f>
        <v>214674.65753424657</v>
      </c>
      <c r="P27" s="551">
        <f>SUM(Taula1[[#Data],[#Totals],[Import Total 
IVA exclòs]])</f>
        <v>551250</v>
      </c>
      <c r="Q27" s="337">
        <f>SUM(Q25)</f>
        <v>22500</v>
      </c>
      <c r="S27" s="217"/>
      <c r="AG27" s="7"/>
      <c r="AH27" s="7"/>
      <c r="AJ27" s="7"/>
      <c r="AK27" s="7"/>
      <c r="AL27" s="7"/>
    </row>
    <row r="28" spans="2:38">
      <c r="D28" s="11"/>
      <c r="E28" s="11"/>
      <c r="F28" s="11"/>
      <c r="G28" s="11"/>
      <c r="H28" s="11"/>
      <c r="I28" s="11"/>
      <c r="J28" s="105"/>
      <c r="S28" s="217"/>
      <c r="AG28" s="7"/>
      <c r="AH28" s="7"/>
      <c r="AJ28" s="7"/>
      <c r="AK28" s="7"/>
      <c r="AL28" s="7"/>
    </row>
    <row r="29" spans="2:38" ht="15.75" thickBot="1">
      <c r="D29" s="11"/>
      <c r="E29" s="11"/>
      <c r="F29" s="11"/>
      <c r="G29" s="199" t="s">
        <v>89</v>
      </c>
      <c r="H29" s="199" t="s">
        <v>33</v>
      </c>
      <c r="I29" s="79" t="s">
        <v>44</v>
      </c>
      <c r="J29" s="105"/>
      <c r="AG29" s="7"/>
      <c r="AH29" s="7"/>
      <c r="AJ29" s="7"/>
      <c r="AK29" s="7"/>
      <c r="AL29" s="7"/>
    </row>
    <row r="30" spans="2:38" ht="15.75">
      <c r="D30" s="11"/>
      <c r="E30" s="11"/>
      <c r="F30" s="118" t="s">
        <v>80</v>
      </c>
      <c r="G30" s="129">
        <f>CalculPressup[[#Totals],[Import Total 
IVA inclòs]]</f>
        <v>3457090.978764792</v>
      </c>
      <c r="H30" s="130">
        <f>CalculPressup[[#Totals],[Import Total 
IVA exclòs]]</f>
        <v>2857099.9989791666</v>
      </c>
      <c r="I30" s="506">
        <f>G30-H30</f>
        <v>599990.97978562536</v>
      </c>
      <c r="J30" s="105"/>
      <c r="AG30" s="7"/>
      <c r="AH30" s="7"/>
      <c r="AJ30" s="7"/>
      <c r="AK30" s="7"/>
      <c r="AL30" s="7"/>
    </row>
    <row r="31" spans="2:38" ht="15.75">
      <c r="D31" s="11"/>
      <c r="E31" s="11"/>
      <c r="F31" s="135" t="s">
        <v>92</v>
      </c>
      <c r="G31" s="557">
        <f>J27</f>
        <v>667012.5</v>
      </c>
      <c r="H31" s="131">
        <f>P27</f>
        <v>551250</v>
      </c>
      <c r="I31" s="506">
        <f>G31-H31</f>
        <v>115762.5</v>
      </c>
      <c r="J31" s="11"/>
      <c r="K31" s="11"/>
      <c r="L31" s="105"/>
      <c r="AG31" s="7"/>
      <c r="AH31" s="7"/>
      <c r="AJ31" s="7"/>
      <c r="AK31" s="7"/>
      <c r="AL31" s="7"/>
    </row>
    <row r="32" spans="2:38" ht="16.5" thickBot="1">
      <c r="D32" s="11"/>
      <c r="E32" s="11"/>
      <c r="F32" s="136" t="s">
        <v>106</v>
      </c>
      <c r="G32" s="132">
        <f>SUM(G30:G31)</f>
        <v>4124103.478764792</v>
      </c>
      <c r="H32" s="133">
        <f>G32/1.21</f>
        <v>3408349.9824502412</v>
      </c>
      <c r="I32" s="506">
        <f>SUM(I30:I31)</f>
        <v>715753.47978562536</v>
      </c>
      <c r="J32" s="11"/>
      <c r="K32" s="11"/>
      <c r="L32" s="105"/>
      <c r="AG32" s="7"/>
      <c r="AH32" s="7"/>
      <c r="AJ32" s="7"/>
      <c r="AK32" s="7"/>
      <c r="AL32" s="7"/>
    </row>
    <row r="33" spans="1:38">
      <c r="B33" s="11"/>
      <c r="C33" s="7"/>
      <c r="D33" s="11"/>
      <c r="E33" s="11"/>
      <c r="F33" s="11"/>
      <c r="G33" s="11"/>
      <c r="H33" s="11"/>
      <c r="I33" s="11"/>
      <c r="J33" s="11"/>
      <c r="K33" s="11"/>
      <c r="O33" s="228"/>
      <c r="R33" s="228"/>
      <c r="AG33" s="7"/>
      <c r="AH33" s="7"/>
      <c r="AJ33" s="7"/>
      <c r="AK33" s="7"/>
      <c r="AL33" s="7"/>
    </row>
    <row r="34" spans="1:38" ht="15.75" customHeight="1" thickBot="1">
      <c r="A34" s="380">
        <v>2023</v>
      </c>
      <c r="B34" s="380"/>
      <c r="C34" s="380"/>
      <c r="D34" s="380"/>
      <c r="E34" s="380"/>
      <c r="F34" s="380"/>
      <c r="G34" s="634" t="s">
        <v>139</v>
      </c>
      <c r="H34" s="634"/>
      <c r="I34" s="634"/>
      <c r="J34" s="634"/>
      <c r="K34" s="634"/>
      <c r="L34" s="634"/>
      <c r="M34" s="634"/>
      <c r="O34" s="28"/>
      <c r="P34" s="28"/>
      <c r="R34" s="1"/>
      <c r="S34" s="1"/>
      <c r="T34" s="8"/>
      <c r="AG34" s="7"/>
      <c r="AH34" s="7"/>
      <c r="AJ34" s="7"/>
      <c r="AK34" s="7"/>
      <c r="AL34" s="7"/>
    </row>
    <row r="35" spans="1:38" s="1" customFormat="1" ht="48" thickBot="1">
      <c r="A35" s="25" t="s">
        <v>13</v>
      </c>
      <c r="B35" s="25" t="s">
        <v>12</v>
      </c>
      <c r="C35" s="25" t="s">
        <v>11</v>
      </c>
      <c r="D35" s="25"/>
      <c r="E35" s="25" t="s">
        <v>10</v>
      </c>
      <c r="F35" s="25" t="s">
        <v>9</v>
      </c>
      <c r="G35" s="400" t="s">
        <v>68</v>
      </c>
      <c r="H35" s="400" t="s">
        <v>94</v>
      </c>
      <c r="I35" s="401" t="s">
        <v>69</v>
      </c>
      <c r="J35" s="401" t="s">
        <v>93</v>
      </c>
      <c r="K35" s="400" t="s">
        <v>160</v>
      </c>
      <c r="L35" s="401" t="s">
        <v>69</v>
      </c>
      <c r="M35" s="402" t="s">
        <v>159</v>
      </c>
      <c r="N35" s="119"/>
      <c r="O35" s="25" t="s">
        <v>8</v>
      </c>
      <c r="P35" s="25" t="s">
        <v>7</v>
      </c>
      <c r="Q35" s="7"/>
      <c r="S35" s="27"/>
    </row>
    <row r="36" spans="1:38" s="103" customFormat="1" ht="30">
      <c r="A36" s="29"/>
      <c r="B36" s="29"/>
      <c r="C36" s="29"/>
      <c r="D36" s="624" t="s">
        <v>185</v>
      </c>
      <c r="E36" s="388" t="s">
        <v>76</v>
      </c>
      <c r="F36" s="397"/>
      <c r="G36" s="460">
        <f>G6</f>
        <v>46558.479452054795</v>
      </c>
      <c r="H36" s="403"/>
      <c r="I36" s="389"/>
      <c r="J36" s="397"/>
      <c r="K36" s="403"/>
      <c r="L36" s="389"/>
      <c r="M36" s="390"/>
      <c r="N36" s="102"/>
    </row>
    <row r="37" spans="1:38" s="103" customFormat="1" ht="30">
      <c r="A37" s="29"/>
      <c r="B37" s="29"/>
      <c r="C37" s="29"/>
      <c r="D37" s="625"/>
      <c r="E37" s="386" t="s">
        <v>88</v>
      </c>
      <c r="F37" s="398"/>
      <c r="G37" s="407"/>
      <c r="H37" s="404">
        <f>J37/I37</f>
        <v>859.71693287102812</v>
      </c>
      <c r="I37" s="387">
        <f>Perfils!$G$6</f>
        <v>86.759999999999991</v>
      </c>
      <c r="J37" s="412">
        <f>G7</f>
        <v>74589.041095890396</v>
      </c>
      <c r="K37" s="410"/>
      <c r="L37" s="385"/>
      <c r="M37" s="391"/>
      <c r="N37" s="102"/>
    </row>
    <row r="38" spans="1:38" s="1" customFormat="1" ht="30.75" thickBot="1">
      <c r="A38" s="29"/>
      <c r="B38" s="29"/>
      <c r="C38" s="29"/>
      <c r="D38" s="626"/>
      <c r="E38" s="392" t="s">
        <v>157</v>
      </c>
      <c r="F38" s="399"/>
      <c r="G38" s="408"/>
      <c r="H38" s="405"/>
      <c r="I38" s="393"/>
      <c r="J38" s="413"/>
      <c r="K38" s="411">
        <f>M38/L38</f>
        <v>191.42574386215938</v>
      </c>
      <c r="L38" s="395">
        <f>Perfils!G16</f>
        <v>77.930000000000007</v>
      </c>
      <c r="M38" s="396">
        <f>G8</f>
        <v>14917.808219178081</v>
      </c>
      <c r="N38" s="13"/>
      <c r="O38" s="117"/>
      <c r="P38" s="12"/>
      <c r="Q38" s="7"/>
    </row>
    <row r="39" spans="1:38" s="303" customFormat="1" ht="15.75">
      <c r="A39" s="25" t="s">
        <v>6</v>
      </c>
      <c r="B39" s="24"/>
      <c r="C39" s="23"/>
      <c r="D39" s="90"/>
      <c r="E39" s="22"/>
      <c r="F39" s="22"/>
      <c r="G39" s="455">
        <f>SUM(G36:G38)</f>
        <v>46558.479452054795</v>
      </c>
      <c r="H39" s="22"/>
      <c r="I39" s="22"/>
      <c r="J39" s="455">
        <f>SUM(J36:J38)</f>
        <v>74589.041095890396</v>
      </c>
      <c r="K39" s="22"/>
      <c r="L39" s="22"/>
      <c r="M39" s="455">
        <f>SUM(M36:M38)</f>
        <v>14917.808219178081</v>
      </c>
      <c r="N39" s="198">
        <f>SUM(G39:M39)</f>
        <v>136065.32876712328</v>
      </c>
    </row>
    <row r="40" spans="1:38" s="303" customFormat="1">
      <c r="A40" s="29"/>
      <c r="B40" s="29"/>
      <c r="C40" s="29"/>
      <c r="D40" s="381"/>
      <c r="E40" s="381"/>
      <c r="F40" s="381"/>
      <c r="G40" s="381"/>
      <c r="H40" s="381"/>
      <c r="I40" s="381"/>
      <c r="J40" s="381"/>
      <c r="K40" s="381"/>
      <c r="L40" s="381"/>
      <c r="M40" s="381"/>
    </row>
    <row r="41" spans="1:38" s="303" customFormat="1" ht="16.5" thickBot="1">
      <c r="A41" s="380">
        <v>2023</v>
      </c>
      <c r="B41" s="380"/>
      <c r="C41" s="380"/>
      <c r="D41" s="380"/>
      <c r="E41" s="380"/>
      <c r="F41" s="380"/>
      <c r="G41" s="635" t="s">
        <v>198</v>
      </c>
      <c r="H41" s="635"/>
      <c r="I41" s="635"/>
      <c r="J41" s="635"/>
      <c r="K41" s="635"/>
      <c r="L41" s="635"/>
    </row>
    <row r="42" spans="1:38" s="303" customFormat="1" ht="48" thickBot="1">
      <c r="A42" s="25" t="s">
        <v>13</v>
      </c>
      <c r="B42" s="25" t="s">
        <v>12</v>
      </c>
      <c r="C42" s="25" t="s">
        <v>11</v>
      </c>
      <c r="D42" s="25"/>
      <c r="E42" s="25" t="s">
        <v>10</v>
      </c>
      <c r="F42" s="25" t="s">
        <v>9</v>
      </c>
      <c r="G42" s="400" t="s">
        <v>95</v>
      </c>
      <c r="H42" s="401" t="s">
        <v>69</v>
      </c>
      <c r="I42" s="402" t="s">
        <v>96</v>
      </c>
      <c r="J42" s="378" t="s">
        <v>97</v>
      </c>
      <c r="K42" s="284" t="s">
        <v>69</v>
      </c>
      <c r="L42" s="285" t="s">
        <v>98</v>
      </c>
      <c r="O42" s="12"/>
      <c r="P42" s="7"/>
    </row>
    <row r="43" spans="1:38" s="1" customFormat="1" ht="30">
      <c r="A43" s="29"/>
      <c r="B43" s="29"/>
      <c r="C43" s="29"/>
      <c r="D43" s="628" t="s">
        <v>182</v>
      </c>
      <c r="E43" s="414" t="s">
        <v>86</v>
      </c>
      <c r="F43" s="434"/>
      <c r="G43" s="432">
        <f>I43/H43</f>
        <v>301.91880629787659</v>
      </c>
      <c r="H43" s="415">
        <f>Perfils!$G$9</f>
        <v>49.41</v>
      </c>
      <c r="I43" s="425">
        <f>G10</f>
        <v>14917.808219178081</v>
      </c>
      <c r="J43" s="435"/>
      <c r="K43" s="416"/>
      <c r="L43" s="417"/>
      <c r="O43" s="117">
        <f>+$B$2</f>
        <v>45202</v>
      </c>
      <c r="P43" s="12">
        <f>+$B$3</f>
        <v>45202</v>
      </c>
      <c r="R43" s="27"/>
    </row>
    <row r="44" spans="1:38" s="1" customFormat="1" ht="30.75" thickBot="1">
      <c r="A44" s="29"/>
      <c r="B44" s="29"/>
      <c r="C44" s="29"/>
      <c r="D44" s="629"/>
      <c r="E44" s="392" t="s">
        <v>87</v>
      </c>
      <c r="F44" s="399"/>
      <c r="G44" s="433"/>
      <c r="H44" s="394"/>
      <c r="I44" s="406"/>
      <c r="J44" s="409">
        <f>L44/K44</f>
        <v>0</v>
      </c>
      <c r="K44" s="395">
        <f>Perfils!$G$13</f>
        <v>65.66</v>
      </c>
      <c r="L44" s="418">
        <f>G11</f>
        <v>0</v>
      </c>
      <c r="M44" s="303"/>
      <c r="O44" s="117"/>
      <c r="P44" s="12"/>
      <c r="R44" s="27"/>
    </row>
    <row r="45" spans="1:38" s="303" customFormat="1" ht="15.75">
      <c r="A45" s="25" t="s">
        <v>6</v>
      </c>
      <c r="B45" s="24"/>
      <c r="C45" s="23"/>
      <c r="D45" s="90"/>
      <c r="E45" s="22"/>
      <c r="F45" s="22"/>
      <c r="G45" s="22"/>
      <c r="H45" s="22"/>
      <c r="I45" s="455">
        <f>SUM(I43:I44)</f>
        <v>14917.808219178081</v>
      </c>
      <c r="J45" s="456"/>
      <c r="K45" s="456"/>
      <c r="L45" s="456">
        <f>SUM(L43:L44)</f>
        <v>0</v>
      </c>
      <c r="M45" s="198">
        <f>SUM(I45:L45)</f>
        <v>14917.808219178081</v>
      </c>
      <c r="O45" s="117"/>
      <c r="P45" s="12"/>
      <c r="R45" s="27"/>
    </row>
    <row r="46" spans="1:38" s="303" customFormat="1">
      <c r="A46" s="29"/>
      <c r="B46" s="29"/>
      <c r="C46" s="29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117"/>
      <c r="P46" s="12"/>
      <c r="R46" s="27"/>
    </row>
    <row r="47" spans="1:38" s="303" customFormat="1" ht="16.5" thickBot="1">
      <c r="A47" s="380">
        <v>2023</v>
      </c>
      <c r="B47" s="380"/>
      <c r="C47" s="380"/>
      <c r="D47" s="380"/>
      <c r="E47" s="380"/>
      <c r="F47" s="380"/>
      <c r="G47" s="380"/>
      <c r="H47" s="381"/>
      <c r="I47" s="381"/>
      <c r="J47" s="381"/>
      <c r="K47" s="381"/>
      <c r="L47" s="381"/>
      <c r="M47" s="381"/>
      <c r="N47" s="381"/>
      <c r="O47" s="117"/>
      <c r="P47" s="12"/>
      <c r="R47" s="27"/>
    </row>
    <row r="48" spans="1:38" s="303" customFormat="1" ht="32.25" thickBot="1">
      <c r="A48" s="25" t="s">
        <v>13</v>
      </c>
      <c r="B48" s="25" t="s">
        <v>12</v>
      </c>
      <c r="C48" s="25" t="s">
        <v>11</v>
      </c>
      <c r="D48" s="25"/>
      <c r="E48" s="25" t="s">
        <v>10</v>
      </c>
      <c r="F48" s="25" t="s">
        <v>9</v>
      </c>
      <c r="G48" s="283" t="s">
        <v>99</v>
      </c>
      <c r="H48" s="381"/>
      <c r="I48" s="381"/>
      <c r="J48" s="381"/>
      <c r="K48" s="381"/>
      <c r="L48" s="381"/>
      <c r="M48" s="381"/>
      <c r="N48" s="381"/>
      <c r="O48" s="117"/>
      <c r="P48" s="12"/>
      <c r="R48" s="27"/>
    </row>
    <row r="49" spans="1:38" s="1" customFormat="1" ht="15.75" thickBot="1">
      <c r="A49" s="29"/>
      <c r="B49" s="29"/>
      <c r="C49" s="29"/>
      <c r="D49" s="424" t="s">
        <v>193</v>
      </c>
      <c r="E49" s="419" t="s">
        <v>77</v>
      </c>
      <c r="F49" s="420"/>
      <c r="G49" s="422">
        <f>G13</f>
        <v>114867.12328767123</v>
      </c>
      <c r="H49" s="381"/>
      <c r="I49" s="381"/>
      <c r="J49" s="381"/>
      <c r="K49" s="381"/>
      <c r="L49" s="381"/>
      <c r="M49" s="381"/>
      <c r="N49" s="381"/>
      <c r="O49" s="117">
        <f>+$B$2</f>
        <v>45202</v>
      </c>
      <c r="P49" s="12">
        <f>+$B$3</f>
        <v>45202</v>
      </c>
    </row>
    <row r="50" spans="1:38" s="303" customFormat="1" ht="15.75">
      <c r="A50" s="25" t="s">
        <v>6</v>
      </c>
      <c r="B50" s="24"/>
      <c r="C50" s="23"/>
      <c r="D50" s="90"/>
      <c r="E50" s="22"/>
      <c r="F50" s="22"/>
      <c r="G50" s="421">
        <f>SUM(G49)</f>
        <v>114867.12328767123</v>
      </c>
      <c r="H50" s="423">
        <f>SUM(G50)</f>
        <v>114867.12328767123</v>
      </c>
      <c r="I50" s="15"/>
      <c r="J50" s="15"/>
      <c r="K50" s="15"/>
      <c r="L50" s="14"/>
      <c r="M50" s="13"/>
      <c r="N50" s="13"/>
      <c r="O50" s="13"/>
      <c r="P50" s="13"/>
      <c r="Q50" s="13"/>
      <c r="R50" s="13"/>
      <c r="S50" s="13"/>
      <c r="T50" s="101"/>
      <c r="U50" s="101"/>
      <c r="V50" s="7"/>
    </row>
    <row r="51" spans="1:38" s="303" customFormat="1">
      <c r="A51" s="29"/>
      <c r="B51" s="29"/>
      <c r="C51" s="29"/>
      <c r="D51" s="29"/>
      <c r="E51" s="382"/>
      <c r="F51" s="100"/>
      <c r="G51" s="15"/>
      <c r="H51" s="383"/>
      <c r="I51" s="15"/>
      <c r="J51" s="15"/>
      <c r="K51" s="15"/>
      <c r="L51" s="14"/>
      <c r="M51" s="13"/>
      <c r="N51" s="13"/>
      <c r="O51" s="13"/>
      <c r="P51" s="13"/>
      <c r="Q51" s="13"/>
      <c r="R51" s="13"/>
      <c r="S51" s="13"/>
      <c r="T51" s="101"/>
      <c r="U51" s="101"/>
      <c r="V51" s="7"/>
    </row>
    <row r="52" spans="1:38" s="303" customFormat="1" ht="16.5" thickBot="1">
      <c r="A52" s="380">
        <v>2023</v>
      </c>
      <c r="B52" s="380"/>
      <c r="C52" s="380"/>
      <c r="D52" s="380"/>
      <c r="E52" s="380"/>
      <c r="F52" s="380"/>
      <c r="G52" s="636" t="s">
        <v>198</v>
      </c>
      <c r="H52" s="636"/>
      <c r="I52" s="636"/>
      <c r="J52" s="636"/>
      <c r="K52" s="636"/>
      <c r="L52" s="636"/>
      <c r="M52" s="13"/>
      <c r="N52" s="15"/>
      <c r="O52" s="14"/>
      <c r="P52" s="13"/>
      <c r="Q52" s="384"/>
      <c r="R52" s="14"/>
      <c r="S52" s="14"/>
      <c r="T52" s="14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01"/>
      <c r="AI52" s="101"/>
      <c r="AJ52" s="7"/>
    </row>
    <row r="53" spans="1:38" ht="48" thickBot="1">
      <c r="A53" s="25" t="s">
        <v>13</v>
      </c>
      <c r="B53" s="25" t="s">
        <v>12</v>
      </c>
      <c r="C53" s="25" t="s">
        <v>11</v>
      </c>
      <c r="D53" s="25"/>
      <c r="E53" s="25" t="s">
        <v>10</v>
      </c>
      <c r="F53" s="25" t="s">
        <v>9</v>
      </c>
      <c r="G53" s="429" t="s">
        <v>100</v>
      </c>
      <c r="H53" s="430" t="s">
        <v>69</v>
      </c>
      <c r="I53" s="430" t="s">
        <v>101</v>
      </c>
      <c r="J53" s="429" t="s">
        <v>102</v>
      </c>
      <c r="K53" s="430" t="s">
        <v>69</v>
      </c>
      <c r="L53" s="431" t="s">
        <v>103</v>
      </c>
      <c r="M53" s="8"/>
      <c r="O53" s="8"/>
      <c r="P53" s="8"/>
      <c r="Q53" s="8"/>
      <c r="AG53" s="7"/>
      <c r="AH53" s="7"/>
      <c r="AJ53" s="7"/>
      <c r="AK53" s="7"/>
      <c r="AL53" s="7"/>
    </row>
    <row r="54" spans="1:38" s="1" customFormat="1" ht="30">
      <c r="A54" s="29"/>
      <c r="B54" s="29"/>
      <c r="C54" s="29"/>
      <c r="D54" s="620" t="s">
        <v>194</v>
      </c>
      <c r="E54" s="414" t="s">
        <v>79</v>
      </c>
      <c r="F54" s="434"/>
      <c r="G54" s="436">
        <f>I54/H54</f>
        <v>1670.319407472042</v>
      </c>
      <c r="H54" s="428">
        <f>Perfils!$G$21</f>
        <v>80.38</v>
      </c>
      <c r="I54" s="437">
        <f>G15</f>
        <v>134260.27397260274</v>
      </c>
      <c r="J54" s="439"/>
      <c r="K54" s="428"/>
      <c r="L54" s="437"/>
      <c r="M54" s="117"/>
      <c r="N54" s="12"/>
      <c r="O54" s="7"/>
    </row>
    <row r="55" spans="1:38" s="1" customFormat="1" ht="30.75" thickBot="1">
      <c r="A55" s="29"/>
      <c r="B55" s="29"/>
      <c r="C55" s="29"/>
      <c r="D55" s="621"/>
      <c r="E55" s="392" t="s">
        <v>74</v>
      </c>
      <c r="F55" s="399"/>
      <c r="G55" s="433"/>
      <c r="H55" s="426"/>
      <c r="I55" s="418"/>
      <c r="J55" s="438">
        <f>L55/K55</f>
        <v>697.65270934157263</v>
      </c>
      <c r="K55" s="426">
        <f>Perfils!$G$27</f>
        <v>74.839999999999989</v>
      </c>
      <c r="L55" s="418">
        <f>G16</f>
        <v>52212.32876712329</v>
      </c>
      <c r="O55" s="117">
        <f>+$B$2</f>
        <v>45202</v>
      </c>
      <c r="P55" s="12">
        <f>+$B$3</f>
        <v>45202</v>
      </c>
    </row>
    <row r="56" spans="1:38" s="303" customFormat="1" ht="15.75">
      <c r="A56" s="25" t="s">
        <v>6</v>
      </c>
      <c r="B56" s="24"/>
      <c r="C56" s="23"/>
      <c r="D56" s="90"/>
      <c r="E56" s="22"/>
      <c r="F56" s="104"/>
      <c r="G56" s="21"/>
      <c r="H56" s="21"/>
      <c r="I56" s="20">
        <f>SUM(I54:I55)</f>
        <v>134260.27397260274</v>
      </c>
      <c r="J56" s="21"/>
      <c r="K56" s="21"/>
      <c r="L56" s="20">
        <f>SUM(L54:L55)</f>
        <v>52212.32876712329</v>
      </c>
      <c r="M56" s="457">
        <f>SUM(I56:L56)</f>
        <v>186472.60273972602</v>
      </c>
      <c r="N56" s="101"/>
      <c r="O56" s="7"/>
    </row>
    <row r="57" spans="1:38" s="303" customFormat="1">
      <c r="G57" s="15"/>
      <c r="H57" s="15"/>
      <c r="I57" s="15"/>
      <c r="J57" s="15"/>
      <c r="K57" s="15"/>
      <c r="L57" s="15"/>
      <c r="M57" s="101"/>
      <c r="N57" s="101"/>
      <c r="O57" s="7"/>
    </row>
    <row r="58" spans="1:38" s="303" customFormat="1" ht="16.5" thickBot="1">
      <c r="A58" s="380">
        <v>2023</v>
      </c>
      <c r="B58" s="380"/>
      <c r="C58" s="380"/>
      <c r="D58" s="380"/>
      <c r="E58" s="380"/>
      <c r="F58" s="380"/>
      <c r="G58" s="636" t="s">
        <v>198</v>
      </c>
      <c r="H58" s="636"/>
      <c r="I58" s="636"/>
      <c r="J58" s="636"/>
      <c r="K58" s="636"/>
      <c r="L58" s="636"/>
      <c r="M58" s="101"/>
      <c r="N58" s="101"/>
      <c r="O58" s="7"/>
    </row>
    <row r="59" spans="1:38" s="303" customFormat="1" ht="32.25" thickBot="1">
      <c r="A59" s="25" t="s">
        <v>13</v>
      </c>
      <c r="B59" s="25" t="s">
        <v>12</v>
      </c>
      <c r="C59" s="25" t="s">
        <v>11</v>
      </c>
      <c r="D59" s="25"/>
      <c r="E59" s="25" t="s">
        <v>10</v>
      </c>
      <c r="F59" s="25" t="s">
        <v>9</v>
      </c>
      <c r="G59" s="400" t="s">
        <v>104</v>
      </c>
      <c r="H59" s="401" t="s">
        <v>69</v>
      </c>
      <c r="I59" s="402" t="s">
        <v>105</v>
      </c>
      <c r="J59" s="401" t="s">
        <v>131</v>
      </c>
      <c r="K59" s="401" t="s">
        <v>69</v>
      </c>
      <c r="L59" s="402" t="s">
        <v>132</v>
      </c>
      <c r="M59" s="101"/>
      <c r="N59" s="101"/>
      <c r="O59" s="7"/>
    </row>
    <row r="60" spans="1:38" s="1" customFormat="1">
      <c r="A60" s="89"/>
      <c r="B60" s="16"/>
      <c r="C60" s="16"/>
      <c r="D60" s="642" t="s">
        <v>195</v>
      </c>
      <c r="E60" s="414" t="s">
        <v>75</v>
      </c>
      <c r="F60" s="434"/>
      <c r="G60" s="444">
        <f>I60/H60</f>
        <v>306.82452116779274</v>
      </c>
      <c r="H60" s="440">
        <f>Perfils!$G$32</f>
        <v>97.24</v>
      </c>
      <c r="I60" s="441">
        <f>G18</f>
        <v>29835.616438356163</v>
      </c>
      <c r="J60" s="446"/>
      <c r="K60" s="440"/>
      <c r="L60" s="441"/>
      <c r="M60" s="101"/>
      <c r="N60" s="101"/>
      <c r="O60" s="7"/>
    </row>
    <row r="61" spans="1:38" s="1" customFormat="1" ht="15.75" thickBot="1">
      <c r="A61" s="89"/>
      <c r="B61" s="16"/>
      <c r="C61" s="16"/>
      <c r="D61" s="643"/>
      <c r="E61" s="392" t="s">
        <v>129</v>
      </c>
      <c r="F61" s="399"/>
      <c r="G61" s="445"/>
      <c r="H61" s="442"/>
      <c r="I61" s="443"/>
      <c r="J61" s="447">
        <v>0</v>
      </c>
      <c r="K61" s="442">
        <f>Perfils!G30</f>
        <v>68.819999999999993</v>
      </c>
      <c r="L61" s="443">
        <f>G19</f>
        <v>0</v>
      </c>
      <c r="M61" s="101"/>
      <c r="N61" s="101"/>
      <c r="O61" s="7"/>
    </row>
    <row r="62" spans="1:38" s="1" customFormat="1" ht="15.75">
      <c r="A62" s="25" t="s">
        <v>6</v>
      </c>
      <c r="B62" s="24"/>
      <c r="C62" s="23"/>
      <c r="D62" s="90"/>
      <c r="E62" s="22"/>
      <c r="F62" s="104"/>
      <c r="G62" s="21"/>
      <c r="H62" s="21"/>
      <c r="I62" s="20">
        <f>SUM(I60:I61)</f>
        <v>29835.616438356163</v>
      </c>
      <c r="J62" s="21"/>
      <c r="K62" s="21"/>
      <c r="L62" s="20">
        <f>SUM(L60:L61)</f>
        <v>0</v>
      </c>
      <c r="M62" s="458">
        <f>SUM(I62:L62)</f>
        <v>29835.616438356163</v>
      </c>
      <c r="N62" s="7"/>
    </row>
    <row r="63" spans="1:38" s="1" customFormat="1">
      <c r="A63" s="19"/>
      <c r="B63" s="18"/>
      <c r="C63" s="17"/>
      <c r="D63" s="448"/>
      <c r="E63" s="16"/>
      <c r="F63" s="15"/>
      <c r="G63" s="15"/>
      <c r="H63" s="15"/>
      <c r="I63" s="13"/>
      <c r="J63" s="15"/>
      <c r="K63" s="14"/>
      <c r="L63" s="13"/>
      <c r="M63" s="13"/>
      <c r="N63" s="13"/>
      <c r="O63" s="13"/>
      <c r="P63" s="13"/>
      <c r="Q63" s="13"/>
      <c r="R63" s="13"/>
      <c r="S63" s="12"/>
      <c r="T63" s="12"/>
      <c r="U63" s="7"/>
    </row>
    <row r="64" spans="1:38" s="1" customFormat="1" ht="15.75">
      <c r="A64" s="452">
        <v>2023</v>
      </c>
      <c r="B64" s="452"/>
      <c r="C64" s="452"/>
      <c r="D64" s="476" t="s">
        <v>197</v>
      </c>
      <c r="E64" s="476" t="s">
        <v>196</v>
      </c>
      <c r="F64" s="380"/>
      <c r="G64" s="634" t="s">
        <v>199</v>
      </c>
      <c r="H64" s="634"/>
      <c r="I64" s="634"/>
      <c r="J64" s="15"/>
      <c r="K64" s="15"/>
      <c r="L64" s="13"/>
      <c r="M64" s="15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2"/>
      <c r="AD64" s="12"/>
      <c r="AE64" s="7"/>
    </row>
    <row r="65" spans="1:35" s="1" customFormat="1" ht="47.25">
      <c r="A65" s="25" t="s">
        <v>13</v>
      </c>
      <c r="B65" s="25" t="s">
        <v>12</v>
      </c>
      <c r="C65" s="25" t="s">
        <v>11</v>
      </c>
      <c r="D65" s="25"/>
      <c r="E65" s="25" t="s">
        <v>10</v>
      </c>
      <c r="F65" s="25" t="s">
        <v>9</v>
      </c>
      <c r="G65" s="453" t="s">
        <v>94</v>
      </c>
      <c r="H65" s="427" t="s">
        <v>69</v>
      </c>
      <c r="I65" s="454" t="s">
        <v>154</v>
      </c>
      <c r="J65" s="15"/>
      <c r="K65" s="15"/>
      <c r="L65" s="13"/>
      <c r="M65" s="15"/>
      <c r="N65" s="14"/>
      <c r="O65" s="13"/>
      <c r="P65" s="15"/>
      <c r="Q65" s="14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2"/>
      <c r="AH65" s="12"/>
      <c r="AI65" s="7"/>
    </row>
    <row r="66" spans="1:35" s="1" customFormat="1" ht="15.75" thickBot="1">
      <c r="A66" s="19"/>
      <c r="B66" s="18"/>
      <c r="C66" s="17"/>
      <c r="D66" s="450"/>
      <c r="E66" s="127" t="s">
        <v>81</v>
      </c>
      <c r="F66" s="239"/>
      <c r="G66" s="240">
        <f>I66/H66</f>
        <v>0</v>
      </c>
      <c r="H66" s="242">
        <f>Perfils!G38</f>
        <v>58.88</v>
      </c>
      <c r="I66" s="241">
        <f>Taula1[[#Totals],[import 2023
IVA inc]]</f>
        <v>0</v>
      </c>
      <c r="J66" s="15"/>
      <c r="K66" s="15"/>
      <c r="L66" s="13"/>
      <c r="M66" s="15"/>
      <c r="N66" s="14"/>
      <c r="O66" s="13"/>
      <c r="P66" s="15"/>
      <c r="Q66" s="14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2"/>
      <c r="AH66" s="12"/>
      <c r="AI66" s="7"/>
    </row>
    <row r="67" spans="1:35" s="1" customFormat="1" ht="15.75">
      <c r="A67" s="25" t="s">
        <v>6</v>
      </c>
      <c r="B67" s="24"/>
      <c r="C67" s="23"/>
      <c r="D67" s="451"/>
      <c r="E67" s="449"/>
      <c r="F67" s="22"/>
      <c r="G67" s="22"/>
      <c r="H67" s="22"/>
      <c r="I67" s="106">
        <f>SUM(I66)</f>
        <v>0</v>
      </c>
      <c r="J67" s="459">
        <f>SUM(I67)</f>
        <v>0</v>
      </c>
      <c r="K67" s="15"/>
      <c r="L67" s="13"/>
      <c r="M67" s="15"/>
      <c r="N67" s="14"/>
      <c r="O67" s="13"/>
      <c r="P67" s="15"/>
      <c r="Q67" s="14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2"/>
      <c r="AH67" s="12"/>
      <c r="AI67" s="7"/>
    </row>
    <row r="68" spans="1:35" s="1" customFormat="1">
      <c r="A68" s="19"/>
      <c r="B68" s="18"/>
      <c r="C68" s="17"/>
      <c r="D68" s="121"/>
      <c r="E68" s="102"/>
      <c r="F68" s="122"/>
      <c r="G68" s="15"/>
      <c r="H68" s="15"/>
      <c r="I68" s="13"/>
      <c r="J68" s="15"/>
      <c r="K68" s="14"/>
      <c r="L68" s="13"/>
      <c r="M68" s="15"/>
      <c r="N68" s="14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2"/>
      <c r="AE68" s="12"/>
      <c r="AF68" s="7"/>
    </row>
    <row r="69" spans="1:35" s="303" customFormat="1">
      <c r="A69" s="19"/>
      <c r="B69" s="18"/>
      <c r="C69" s="17"/>
      <c r="D69" s="121"/>
      <c r="E69" s="102"/>
      <c r="F69" s="122"/>
      <c r="G69" s="15"/>
      <c r="H69" s="15"/>
      <c r="I69" s="13"/>
      <c r="J69" s="15"/>
      <c r="K69" s="14"/>
      <c r="L69" s="13"/>
      <c r="M69" s="15"/>
      <c r="N69" s="14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2"/>
      <c r="AE69" s="12"/>
      <c r="AF69" s="7"/>
    </row>
    <row r="70" spans="1:35" s="303" customFormat="1" ht="16.5" thickBot="1">
      <c r="A70" s="466">
        <v>2024</v>
      </c>
      <c r="B70" s="466"/>
      <c r="C70" s="466"/>
      <c r="D70" s="466"/>
      <c r="E70" s="466"/>
      <c r="F70" s="466"/>
      <c r="G70" s="644" t="s">
        <v>200</v>
      </c>
      <c r="H70" s="644"/>
      <c r="I70" s="644"/>
      <c r="J70" s="644"/>
      <c r="K70" s="644"/>
      <c r="L70" s="644"/>
      <c r="M70" s="644"/>
      <c r="N70" s="7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2"/>
      <c r="AE70" s="12"/>
      <c r="AF70" s="7"/>
    </row>
    <row r="71" spans="1:35" s="303" customFormat="1" ht="48" thickBot="1">
      <c r="A71" s="25" t="s">
        <v>13</v>
      </c>
      <c r="B71" s="25" t="s">
        <v>12</v>
      </c>
      <c r="C71" s="25" t="s">
        <v>11</v>
      </c>
      <c r="D71" s="25"/>
      <c r="E71" s="25" t="s">
        <v>10</v>
      </c>
      <c r="F71" s="25" t="s">
        <v>9</v>
      </c>
      <c r="G71" s="467" t="s">
        <v>68</v>
      </c>
      <c r="H71" s="467" t="s">
        <v>94</v>
      </c>
      <c r="I71" s="468" t="s">
        <v>69</v>
      </c>
      <c r="J71" s="468" t="s">
        <v>93</v>
      </c>
      <c r="K71" s="467" t="s">
        <v>160</v>
      </c>
      <c r="L71" s="468" t="s">
        <v>69</v>
      </c>
      <c r="M71" s="469" t="s">
        <v>159</v>
      </c>
      <c r="N71" s="119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2"/>
      <c r="AE71" s="12"/>
      <c r="AF71" s="7"/>
    </row>
    <row r="72" spans="1:35" s="303" customFormat="1" ht="30">
      <c r="A72" s="29"/>
      <c r="B72" s="29"/>
      <c r="C72" s="29"/>
      <c r="D72" s="624" t="s">
        <v>185</v>
      </c>
      <c r="E72" s="388" t="s">
        <v>76</v>
      </c>
      <c r="F72" s="397"/>
      <c r="G72" s="460">
        <f>H6</f>
        <v>188820.5</v>
      </c>
      <c r="H72" s="403"/>
      <c r="I72" s="389"/>
      <c r="J72" s="397"/>
      <c r="K72" s="403"/>
      <c r="L72" s="389"/>
      <c r="M72" s="390"/>
      <c r="N72" s="102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2"/>
      <c r="AE72" s="12"/>
      <c r="AF72" s="7"/>
    </row>
    <row r="73" spans="1:35" s="303" customFormat="1" ht="30">
      <c r="A73" s="29"/>
      <c r="B73" s="29"/>
      <c r="C73" s="29"/>
      <c r="D73" s="625"/>
      <c r="E73" s="386" t="s">
        <v>88</v>
      </c>
      <c r="F73" s="398"/>
      <c r="G73" s="407"/>
      <c r="H73" s="404">
        <f>J73/I73</f>
        <v>2626.9127351787643</v>
      </c>
      <c r="I73" s="387">
        <f>Perfils!$G$6</f>
        <v>86.759999999999991</v>
      </c>
      <c r="J73" s="412">
        <f>H7</f>
        <v>227910.94890410957</v>
      </c>
      <c r="K73" s="410"/>
      <c r="L73" s="385"/>
      <c r="M73" s="391"/>
      <c r="N73" s="102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2"/>
      <c r="AE73" s="12"/>
      <c r="AF73" s="7"/>
    </row>
    <row r="74" spans="1:35" s="303" customFormat="1" ht="30.75" thickBot="1">
      <c r="A74" s="29"/>
      <c r="B74" s="29"/>
      <c r="C74" s="29"/>
      <c r="D74" s="626"/>
      <c r="E74" s="392" t="s">
        <v>157</v>
      </c>
      <c r="F74" s="399"/>
      <c r="G74" s="408"/>
      <c r="H74" s="405"/>
      <c r="I74" s="393"/>
      <c r="J74" s="413"/>
      <c r="K74" s="411">
        <f>M74/L74</f>
        <v>776.33773899653534</v>
      </c>
      <c r="L74" s="395">
        <f>Perfils!G16</f>
        <v>77.930000000000007</v>
      </c>
      <c r="M74" s="464">
        <f>H8</f>
        <v>60500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2"/>
      <c r="AE74" s="12"/>
      <c r="AF74" s="7"/>
    </row>
    <row r="75" spans="1:35" s="303" customFormat="1" ht="15.75">
      <c r="A75" s="25" t="s">
        <v>6</v>
      </c>
      <c r="B75" s="24"/>
      <c r="C75" s="23"/>
      <c r="D75" s="90"/>
      <c r="E75" s="22"/>
      <c r="F75" s="22"/>
      <c r="G75" s="455">
        <f>SUM(G72:G74)</f>
        <v>188820.5</v>
      </c>
      <c r="H75" s="22"/>
      <c r="I75" s="22"/>
      <c r="J75" s="455">
        <f>SUM(J72:J74)</f>
        <v>227910.94890410957</v>
      </c>
      <c r="K75" s="22"/>
      <c r="L75" s="22"/>
      <c r="M75" s="455">
        <f>SUM(M72:M74)</f>
        <v>60500</v>
      </c>
      <c r="N75" s="198">
        <f>SUM(G75:M75)</f>
        <v>477231.44890410954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2"/>
      <c r="AE75" s="12"/>
      <c r="AF75" s="7"/>
    </row>
    <row r="76" spans="1:35" s="303" customFormat="1">
      <c r="A76" s="19"/>
      <c r="B76" s="18"/>
      <c r="C76" s="17"/>
      <c r="D76" s="121"/>
      <c r="E76" s="102"/>
      <c r="F76" s="122"/>
      <c r="G76" s="15"/>
      <c r="H76" s="15"/>
      <c r="I76" s="13"/>
      <c r="J76" s="15"/>
      <c r="K76" s="14"/>
      <c r="L76" s="13"/>
      <c r="M76" s="15"/>
      <c r="N76" s="14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2"/>
      <c r="AE76" s="12"/>
      <c r="AF76" s="7"/>
    </row>
    <row r="77" spans="1:35" s="303" customFormat="1" ht="16.5" thickBot="1">
      <c r="A77" s="466">
        <v>2024</v>
      </c>
      <c r="B77" s="466"/>
      <c r="C77" s="466"/>
      <c r="D77" s="466"/>
      <c r="E77" s="466"/>
      <c r="F77" s="466"/>
      <c r="G77" s="645" t="s">
        <v>201</v>
      </c>
      <c r="H77" s="645"/>
      <c r="I77" s="645"/>
      <c r="J77" s="645"/>
      <c r="K77" s="645"/>
      <c r="L77" s="645"/>
      <c r="N77" s="14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2"/>
      <c r="AE77" s="12"/>
      <c r="AF77" s="7"/>
    </row>
    <row r="78" spans="1:35" s="303" customFormat="1" ht="48" thickBot="1">
      <c r="A78" s="25" t="s">
        <v>13</v>
      </c>
      <c r="B78" s="25" t="s">
        <v>12</v>
      </c>
      <c r="C78" s="25" t="s">
        <v>11</v>
      </c>
      <c r="D78" s="25"/>
      <c r="E78" s="25" t="s">
        <v>10</v>
      </c>
      <c r="F78" s="25" t="s">
        <v>9</v>
      </c>
      <c r="G78" s="467" t="s">
        <v>95</v>
      </c>
      <c r="H78" s="468" t="s">
        <v>69</v>
      </c>
      <c r="I78" s="469" t="s">
        <v>96</v>
      </c>
      <c r="J78" s="470" t="s">
        <v>97</v>
      </c>
      <c r="K78" s="470" t="s">
        <v>69</v>
      </c>
      <c r="L78" s="471" t="s">
        <v>98</v>
      </c>
      <c r="N78" s="14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2"/>
      <c r="AE78" s="12"/>
      <c r="AF78" s="7"/>
    </row>
    <row r="79" spans="1:35" s="303" customFormat="1" ht="30">
      <c r="A79" s="29"/>
      <c r="B79" s="29"/>
      <c r="C79" s="29"/>
      <c r="D79" s="628" t="s">
        <v>182</v>
      </c>
      <c r="E79" s="414" t="s">
        <v>86</v>
      </c>
      <c r="F79" s="434"/>
      <c r="G79" s="432">
        <f>I79/H79</f>
        <v>1526.3672985059316</v>
      </c>
      <c r="H79" s="415">
        <f>Perfils!$G$9</f>
        <v>49.41</v>
      </c>
      <c r="I79" s="425">
        <f>H10</f>
        <v>75417.80821917807</v>
      </c>
      <c r="J79" s="435"/>
      <c r="K79" s="416"/>
      <c r="L79" s="417"/>
      <c r="N79" s="14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2"/>
      <c r="AE79" s="12"/>
      <c r="AF79" s="7"/>
    </row>
    <row r="80" spans="1:35" s="303" customFormat="1" ht="30.75" thickBot="1">
      <c r="A80" s="29"/>
      <c r="B80" s="29"/>
      <c r="C80" s="29"/>
      <c r="D80" s="629"/>
      <c r="E80" s="392" t="s">
        <v>87</v>
      </c>
      <c r="F80" s="399"/>
      <c r="G80" s="433"/>
      <c r="H80" s="394"/>
      <c r="I80" s="406"/>
      <c r="J80" s="409">
        <f>L80/K80</f>
        <v>681.5934306660713</v>
      </c>
      <c r="K80" s="395">
        <f>Perfils!$G$13</f>
        <v>65.66</v>
      </c>
      <c r="L80" s="418">
        <f>H11</f>
        <v>44753.42465753424</v>
      </c>
      <c r="N80" s="14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2"/>
      <c r="AE80" s="12"/>
      <c r="AF80" s="7"/>
    </row>
    <row r="81" spans="1:32" s="303" customFormat="1" ht="15.75">
      <c r="A81" s="25" t="s">
        <v>6</v>
      </c>
      <c r="B81" s="24"/>
      <c r="C81" s="23"/>
      <c r="D81" s="90"/>
      <c r="E81" s="22"/>
      <c r="F81" s="22"/>
      <c r="G81" s="22"/>
      <c r="H81" s="22"/>
      <c r="I81" s="455">
        <f>SUM(I79:I80)</f>
        <v>75417.80821917807</v>
      </c>
      <c r="J81" s="456"/>
      <c r="K81" s="456"/>
      <c r="L81" s="461">
        <f>SUM(L79:L80)</f>
        <v>44753.42465753424</v>
      </c>
      <c r="M81" s="198">
        <f>SUM(I81:L81)</f>
        <v>120171.23287671231</v>
      </c>
      <c r="N81" s="14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2"/>
      <c r="AE81" s="12"/>
      <c r="AF81" s="7"/>
    </row>
    <row r="82" spans="1:32" s="303" customFormat="1">
      <c r="A82" s="29"/>
      <c r="B82" s="29"/>
      <c r="C82" s="29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14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2"/>
      <c r="AE82" s="12"/>
      <c r="AF82" s="7"/>
    </row>
    <row r="83" spans="1:32" s="303" customFormat="1" ht="16.5" thickBot="1">
      <c r="A83" s="466">
        <v>2024</v>
      </c>
      <c r="B83" s="466"/>
      <c r="C83" s="466"/>
      <c r="D83" s="466"/>
      <c r="E83" s="466"/>
      <c r="F83" s="466"/>
      <c r="G83" s="466" t="s">
        <v>202</v>
      </c>
      <c r="H83" s="381"/>
      <c r="I83" s="381"/>
      <c r="J83" s="381"/>
      <c r="K83" s="381"/>
      <c r="L83" s="381"/>
      <c r="M83" s="381"/>
      <c r="N83" s="14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2"/>
      <c r="AE83" s="12"/>
      <c r="AF83" s="7"/>
    </row>
    <row r="84" spans="1:32" s="303" customFormat="1" ht="32.25" thickBot="1">
      <c r="A84" s="25" t="s">
        <v>13</v>
      </c>
      <c r="B84" s="25" t="s">
        <v>12</v>
      </c>
      <c r="C84" s="25" t="s">
        <v>11</v>
      </c>
      <c r="D84" s="25"/>
      <c r="E84" s="25" t="s">
        <v>10</v>
      </c>
      <c r="F84" s="25" t="s">
        <v>9</v>
      </c>
      <c r="G84" s="472" t="s">
        <v>99</v>
      </c>
      <c r="H84" s="381"/>
      <c r="I84" s="381"/>
      <c r="J84" s="381"/>
      <c r="K84" s="381"/>
      <c r="L84" s="381"/>
      <c r="M84" s="381"/>
      <c r="N84" s="14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2"/>
      <c r="AE84" s="12"/>
      <c r="AF84" s="7"/>
    </row>
    <row r="85" spans="1:32" s="303" customFormat="1" ht="15.75" thickBot="1">
      <c r="A85" s="29"/>
      <c r="B85" s="29"/>
      <c r="C85" s="29"/>
      <c r="D85" s="424" t="s">
        <v>193</v>
      </c>
      <c r="E85" s="419" t="s">
        <v>77</v>
      </c>
      <c r="F85" s="420"/>
      <c r="G85" s="422">
        <f>H13</f>
        <v>465850</v>
      </c>
      <c r="H85" s="381"/>
      <c r="I85" s="381"/>
      <c r="J85" s="381"/>
      <c r="K85" s="381"/>
      <c r="L85" s="381"/>
      <c r="M85" s="381"/>
      <c r="N85" s="14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2"/>
      <c r="AE85" s="12"/>
      <c r="AF85" s="7"/>
    </row>
    <row r="86" spans="1:32" s="303" customFormat="1" ht="15.75">
      <c r="A86" s="25" t="s">
        <v>6</v>
      </c>
      <c r="B86" s="24"/>
      <c r="C86" s="23"/>
      <c r="D86" s="90"/>
      <c r="E86" s="22"/>
      <c r="F86" s="22"/>
      <c r="G86" s="421">
        <f>SUM(G85)</f>
        <v>465850</v>
      </c>
      <c r="H86" s="423">
        <f>SUM(G86)</f>
        <v>465850</v>
      </c>
      <c r="I86" s="15"/>
      <c r="J86" s="15"/>
      <c r="K86" s="15"/>
      <c r="L86" s="14"/>
      <c r="M86" s="13"/>
      <c r="N86" s="14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2"/>
      <c r="AE86" s="12"/>
      <c r="AF86" s="7"/>
    </row>
    <row r="87" spans="1:32" s="303" customFormat="1">
      <c r="A87" s="29"/>
      <c r="B87" s="29"/>
      <c r="C87" s="29"/>
      <c r="D87" s="29"/>
      <c r="E87" s="382"/>
      <c r="F87" s="100"/>
      <c r="G87" s="15"/>
      <c r="H87" s="383"/>
      <c r="I87" s="15"/>
      <c r="J87" s="15"/>
      <c r="K87" s="15"/>
      <c r="L87" s="14"/>
      <c r="M87" s="13"/>
      <c r="N87" s="14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2"/>
      <c r="AE87" s="12"/>
      <c r="AF87" s="7"/>
    </row>
    <row r="88" spans="1:32" s="303" customFormat="1" ht="16.5" thickBot="1">
      <c r="A88" s="466">
        <v>2024</v>
      </c>
      <c r="B88" s="466"/>
      <c r="C88" s="466"/>
      <c r="D88" s="466"/>
      <c r="E88" s="466"/>
      <c r="F88" s="466"/>
      <c r="G88" s="646" t="s">
        <v>201</v>
      </c>
      <c r="H88" s="646"/>
      <c r="I88" s="646"/>
      <c r="J88" s="646"/>
      <c r="K88" s="646"/>
      <c r="L88" s="646"/>
      <c r="M88" s="13"/>
      <c r="N88" s="14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2"/>
      <c r="AE88" s="12"/>
      <c r="AF88" s="7"/>
    </row>
    <row r="89" spans="1:32" s="303" customFormat="1" ht="48" thickBot="1">
      <c r="A89" s="25" t="s">
        <v>13</v>
      </c>
      <c r="B89" s="25" t="s">
        <v>12</v>
      </c>
      <c r="C89" s="25" t="s">
        <v>11</v>
      </c>
      <c r="D89" s="25"/>
      <c r="E89" s="25" t="s">
        <v>10</v>
      </c>
      <c r="F89" s="25" t="s">
        <v>9</v>
      </c>
      <c r="G89" s="473" t="s">
        <v>100</v>
      </c>
      <c r="H89" s="474" t="s">
        <v>69</v>
      </c>
      <c r="I89" s="474" t="s">
        <v>101</v>
      </c>
      <c r="J89" s="473" t="s">
        <v>102</v>
      </c>
      <c r="K89" s="474" t="s">
        <v>69</v>
      </c>
      <c r="L89" s="475" t="s">
        <v>103</v>
      </c>
      <c r="M89" s="8"/>
      <c r="N89" s="14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2"/>
      <c r="AE89" s="12"/>
      <c r="AF89" s="7"/>
    </row>
    <row r="90" spans="1:32" s="303" customFormat="1" ht="30">
      <c r="A90" s="29"/>
      <c r="B90" s="29"/>
      <c r="C90" s="29"/>
      <c r="D90" s="620" t="s">
        <v>194</v>
      </c>
      <c r="E90" s="414" t="s">
        <v>79</v>
      </c>
      <c r="F90" s="434"/>
      <c r="G90" s="436">
        <f>I90/H90</f>
        <v>5103.753745053461</v>
      </c>
      <c r="H90" s="428">
        <f>Perfils!$G$21</f>
        <v>80.38</v>
      </c>
      <c r="I90" s="437">
        <f>H15</f>
        <v>410239.72602739721</v>
      </c>
      <c r="J90" s="439"/>
      <c r="K90" s="428"/>
      <c r="L90" s="437"/>
      <c r="M90" s="117"/>
      <c r="N90" s="14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2"/>
      <c r="AE90" s="12"/>
      <c r="AF90" s="7"/>
    </row>
    <row r="91" spans="1:32" s="303" customFormat="1" ht="30.75" thickBot="1">
      <c r="A91" s="29"/>
      <c r="B91" s="29"/>
      <c r="C91" s="29"/>
      <c r="D91" s="621"/>
      <c r="E91" s="392" t="s">
        <v>74</v>
      </c>
      <c r="F91" s="399"/>
      <c r="G91" s="433"/>
      <c r="H91" s="426"/>
      <c r="I91" s="418"/>
      <c r="J91" s="438">
        <f>L91/K91</f>
        <v>3228.0280284387513</v>
      </c>
      <c r="K91" s="426">
        <f>Perfils!$G$27</f>
        <v>74.839999999999989</v>
      </c>
      <c r="L91" s="418">
        <f>H16</f>
        <v>241585.61764835613</v>
      </c>
      <c r="N91" s="14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2"/>
      <c r="AE91" s="12"/>
      <c r="AF91" s="7"/>
    </row>
    <row r="92" spans="1:32" s="303" customFormat="1" ht="15.75">
      <c r="A92" s="25" t="s">
        <v>6</v>
      </c>
      <c r="B92" s="24"/>
      <c r="C92" s="23"/>
      <c r="D92" s="90"/>
      <c r="E92" s="22"/>
      <c r="F92" s="104"/>
      <c r="G92" s="21"/>
      <c r="H92" s="21"/>
      <c r="I92" s="20">
        <f>SUM(I90:I91)</f>
        <v>410239.72602739721</v>
      </c>
      <c r="J92" s="21"/>
      <c r="K92" s="21"/>
      <c r="L92" s="20">
        <f>SUM(L90:L91)</f>
        <v>241585.61764835613</v>
      </c>
      <c r="M92" s="457">
        <f>SUM(I92:L92)</f>
        <v>651825.34367575333</v>
      </c>
      <c r="N92" s="14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2"/>
      <c r="AE92" s="12"/>
      <c r="AF92" s="7"/>
    </row>
    <row r="93" spans="1:32" s="303" customFormat="1">
      <c r="A93" s="19"/>
      <c r="B93" s="18"/>
      <c r="C93" s="17"/>
      <c r="D93" s="121"/>
      <c r="E93" s="102"/>
      <c r="F93" s="122"/>
      <c r="G93" s="15"/>
      <c r="H93" s="15"/>
      <c r="I93" s="13"/>
      <c r="J93" s="15"/>
      <c r="K93" s="14"/>
      <c r="L93" s="13"/>
      <c r="M93" s="15"/>
      <c r="N93" s="14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2"/>
      <c r="AE93" s="12"/>
      <c r="AF93" s="7"/>
    </row>
    <row r="94" spans="1:32" s="303" customFormat="1" ht="16.5" thickBot="1">
      <c r="A94" s="466">
        <v>2024</v>
      </c>
      <c r="B94" s="466"/>
      <c r="C94" s="466"/>
      <c r="D94" s="466"/>
      <c r="E94" s="466"/>
      <c r="F94" s="466"/>
      <c r="G94" s="646" t="s">
        <v>201</v>
      </c>
      <c r="H94" s="646"/>
      <c r="I94" s="646"/>
      <c r="J94" s="646"/>
      <c r="K94" s="646"/>
      <c r="L94" s="646"/>
      <c r="M94" s="101"/>
      <c r="N94" s="14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2"/>
      <c r="AE94" s="12"/>
      <c r="AF94" s="7"/>
    </row>
    <row r="95" spans="1:32" s="303" customFormat="1" ht="32.25" thickBot="1">
      <c r="A95" s="25" t="s">
        <v>13</v>
      </c>
      <c r="B95" s="25" t="s">
        <v>12</v>
      </c>
      <c r="C95" s="25" t="s">
        <v>11</v>
      </c>
      <c r="D95" s="25"/>
      <c r="E95" s="25" t="s">
        <v>10</v>
      </c>
      <c r="F95" s="25" t="s">
        <v>9</v>
      </c>
      <c r="G95" s="467" t="s">
        <v>104</v>
      </c>
      <c r="H95" s="468" t="s">
        <v>69</v>
      </c>
      <c r="I95" s="469" t="s">
        <v>105</v>
      </c>
      <c r="J95" s="468" t="s">
        <v>131</v>
      </c>
      <c r="K95" s="468" t="s">
        <v>69</v>
      </c>
      <c r="L95" s="469" t="s">
        <v>132</v>
      </c>
      <c r="M95" s="101"/>
      <c r="N95" s="14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2"/>
      <c r="AE95" s="12"/>
      <c r="AF95" s="7"/>
    </row>
    <row r="96" spans="1:32" s="303" customFormat="1">
      <c r="A96" s="89"/>
      <c r="B96" s="16"/>
      <c r="C96" s="16"/>
      <c r="D96" s="642" t="s">
        <v>195</v>
      </c>
      <c r="E96" s="414" t="s">
        <v>75</v>
      </c>
      <c r="F96" s="434"/>
      <c r="G96" s="444">
        <f>I96/H96</f>
        <v>1244.3438914027149</v>
      </c>
      <c r="H96" s="440">
        <f>Perfils!$G$32</f>
        <v>97.24</v>
      </c>
      <c r="I96" s="441">
        <f>H18</f>
        <v>121000</v>
      </c>
      <c r="J96" s="446"/>
      <c r="K96" s="440"/>
      <c r="L96" s="441"/>
      <c r="M96" s="101"/>
      <c r="N96" s="14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2"/>
      <c r="AE96" s="12"/>
      <c r="AF96" s="7"/>
    </row>
    <row r="97" spans="1:40" s="303" customFormat="1" ht="15.75" thickBot="1">
      <c r="A97" s="89"/>
      <c r="B97" s="16"/>
      <c r="C97" s="16"/>
      <c r="D97" s="643"/>
      <c r="E97" s="392" t="s">
        <v>129</v>
      </c>
      <c r="F97" s="399"/>
      <c r="G97" s="445"/>
      <c r="H97" s="442"/>
      <c r="I97" s="443"/>
      <c r="J97" s="447">
        <v>0</v>
      </c>
      <c r="K97" s="442">
        <f>Perfils!G61</f>
        <v>0</v>
      </c>
      <c r="L97" s="443">
        <f>H19</f>
        <v>0</v>
      </c>
      <c r="M97" s="101"/>
      <c r="N97" s="14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2"/>
      <c r="AE97" s="12"/>
      <c r="AF97" s="7"/>
    </row>
    <row r="98" spans="1:40" s="303" customFormat="1" ht="15.75">
      <c r="A98" s="25" t="s">
        <v>6</v>
      </c>
      <c r="B98" s="24"/>
      <c r="C98" s="23"/>
      <c r="D98" s="90"/>
      <c r="E98" s="22"/>
      <c r="F98" s="104"/>
      <c r="G98" s="21"/>
      <c r="H98" s="21"/>
      <c r="I98" s="20">
        <f>SUM(I96:I97)</f>
        <v>121000</v>
      </c>
      <c r="J98" s="21"/>
      <c r="K98" s="21"/>
      <c r="L98" s="20">
        <f>SUM(L96:L97)</f>
        <v>0</v>
      </c>
      <c r="M98" s="458">
        <f>SUM(I98:L98)</f>
        <v>121000</v>
      </c>
      <c r="N98" s="14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2"/>
      <c r="AE98" s="12"/>
      <c r="AF98" s="7"/>
    </row>
    <row r="99" spans="1:40" s="303" customFormat="1">
      <c r="A99" s="19"/>
      <c r="B99" s="18"/>
      <c r="C99" s="17"/>
      <c r="D99" s="121"/>
      <c r="E99" s="102"/>
      <c r="F99" s="122"/>
      <c r="G99" s="15"/>
      <c r="H99" s="15"/>
      <c r="I99" s="13"/>
      <c r="J99" s="15"/>
      <c r="K99" s="14"/>
      <c r="L99" s="13"/>
      <c r="M99" s="15"/>
      <c r="N99" s="14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2"/>
      <c r="AE99" s="12"/>
      <c r="AF99" s="7"/>
    </row>
    <row r="100" spans="1:40" ht="16.5" thickBot="1">
      <c r="A100" s="645">
        <v>2024</v>
      </c>
      <c r="B100" s="645"/>
      <c r="C100" s="645"/>
      <c r="D100" s="645"/>
      <c r="E100" s="645"/>
      <c r="F100" s="647" t="s">
        <v>207</v>
      </c>
      <c r="G100" s="647"/>
      <c r="H100" s="647"/>
      <c r="I100" s="9"/>
      <c r="AG100" s="7"/>
      <c r="AH100" s="7"/>
      <c r="AI100" s="8"/>
      <c r="AK100" s="7"/>
      <c r="AM100" s="8"/>
      <c r="AN100" s="8"/>
    </row>
    <row r="101" spans="1:40" ht="47.25">
      <c r="A101" s="25" t="s">
        <v>13</v>
      </c>
      <c r="B101" s="25" t="s">
        <v>12</v>
      </c>
      <c r="C101" s="25" t="s">
        <v>11</v>
      </c>
      <c r="D101" s="25" t="s">
        <v>10</v>
      </c>
      <c r="E101" s="25" t="s">
        <v>9</v>
      </c>
      <c r="F101" s="472" t="s">
        <v>94</v>
      </c>
      <c r="G101" s="470" t="s">
        <v>69</v>
      </c>
      <c r="H101" s="471" t="s">
        <v>154</v>
      </c>
      <c r="I101" s="9"/>
      <c r="AG101" s="7"/>
      <c r="AH101" s="7"/>
      <c r="AI101" s="8"/>
      <c r="AK101" s="7"/>
      <c r="AM101" s="8"/>
      <c r="AN101" s="8"/>
    </row>
    <row r="102" spans="1:40">
      <c r="A102" s="19"/>
      <c r="B102" s="18"/>
      <c r="C102" s="17"/>
      <c r="D102" s="127" t="s">
        <v>81</v>
      </c>
      <c r="E102" s="26"/>
      <c r="F102" s="465">
        <f>H102/G102</f>
        <v>5548.573369565217</v>
      </c>
      <c r="G102" s="243">
        <f>Perfils!G38</f>
        <v>58.88</v>
      </c>
      <c r="H102" s="128">
        <f>Taula1[import 2024
IVA inc]</f>
        <v>326700</v>
      </c>
      <c r="I102" s="9"/>
      <c r="AG102" s="7"/>
      <c r="AH102" s="7"/>
      <c r="AI102" s="8"/>
      <c r="AK102" s="7"/>
      <c r="AM102" s="8"/>
      <c r="AN102" s="8"/>
    </row>
    <row r="103" spans="1:40" ht="15.75">
      <c r="A103" s="25" t="s">
        <v>6</v>
      </c>
      <c r="B103" s="24"/>
      <c r="C103" s="23"/>
      <c r="D103" s="90"/>
      <c r="E103" s="22"/>
      <c r="F103" s="22"/>
      <c r="G103" s="22"/>
      <c r="H103" s="106">
        <f>SUM(H102)</f>
        <v>326700</v>
      </c>
      <c r="I103" s="9"/>
      <c r="AG103" s="7"/>
      <c r="AH103" s="7"/>
      <c r="AI103" s="8"/>
      <c r="AK103" s="7"/>
      <c r="AM103" s="8"/>
      <c r="AN103" s="8"/>
    </row>
    <row r="104" spans="1:40" s="303" customFormat="1">
      <c r="A104" s="19"/>
      <c r="B104" s="18"/>
      <c r="C104" s="17"/>
      <c r="D104" s="121"/>
      <c r="E104" s="102"/>
      <c r="F104" s="122"/>
      <c r="G104" s="15"/>
      <c r="H104" s="15"/>
      <c r="I104" s="13"/>
      <c r="J104" s="15"/>
      <c r="K104" s="14"/>
      <c r="L104" s="13"/>
      <c r="M104" s="15"/>
      <c r="N104" s="14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2"/>
      <c r="AE104" s="12"/>
      <c r="AF104" s="7"/>
    </row>
    <row r="105" spans="1:40" s="303" customFormat="1" ht="16.5" thickBot="1">
      <c r="A105" s="477">
        <v>2025</v>
      </c>
      <c r="B105" s="477"/>
      <c r="C105" s="477"/>
      <c r="D105" s="477"/>
      <c r="E105" s="477"/>
      <c r="F105" s="477"/>
      <c r="G105" s="623" t="s">
        <v>203</v>
      </c>
      <c r="H105" s="623"/>
      <c r="I105" s="623"/>
      <c r="J105" s="623"/>
      <c r="K105" s="623"/>
      <c r="L105" s="623"/>
      <c r="M105" s="623"/>
      <c r="N105" s="7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2"/>
      <c r="AE105" s="12"/>
      <c r="AF105" s="7"/>
    </row>
    <row r="106" spans="1:40" s="303" customFormat="1" ht="48" thickBot="1">
      <c r="A106" s="25" t="s">
        <v>13</v>
      </c>
      <c r="B106" s="25" t="s">
        <v>12</v>
      </c>
      <c r="C106" s="25" t="s">
        <v>11</v>
      </c>
      <c r="D106" s="25"/>
      <c r="E106" s="25" t="s">
        <v>10</v>
      </c>
      <c r="F106" s="25" t="s">
        <v>9</v>
      </c>
      <c r="G106" s="478" t="s">
        <v>68</v>
      </c>
      <c r="H106" s="478" t="s">
        <v>94</v>
      </c>
      <c r="I106" s="479" t="s">
        <v>69</v>
      </c>
      <c r="J106" s="479" t="s">
        <v>93</v>
      </c>
      <c r="K106" s="478" t="s">
        <v>160</v>
      </c>
      <c r="L106" s="479" t="s">
        <v>69</v>
      </c>
      <c r="M106" s="480" t="s">
        <v>159</v>
      </c>
      <c r="N106" s="119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2"/>
      <c r="AE106" s="12"/>
      <c r="AF106" s="7"/>
    </row>
    <row r="107" spans="1:40" s="303" customFormat="1" ht="30">
      <c r="A107" s="29"/>
      <c r="B107" s="29"/>
      <c r="C107" s="29"/>
      <c r="D107" s="624" t="s">
        <v>185</v>
      </c>
      <c r="E107" s="388" t="s">
        <v>76</v>
      </c>
      <c r="F107" s="397"/>
      <c r="G107" s="460">
        <f>I6</f>
        <v>142262.0205479452</v>
      </c>
      <c r="H107" s="403"/>
      <c r="I107" s="389"/>
      <c r="J107" s="397"/>
      <c r="K107" s="403"/>
      <c r="L107" s="389"/>
      <c r="M107" s="390"/>
      <c r="N107" s="102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2"/>
      <c r="AE107" s="12"/>
      <c r="AF107" s="7"/>
    </row>
    <row r="108" spans="1:40" s="303" customFormat="1" ht="30">
      <c r="A108" s="29"/>
      <c r="B108" s="29"/>
      <c r="C108" s="29"/>
      <c r="D108" s="625"/>
      <c r="E108" s="386" t="s">
        <v>88</v>
      </c>
      <c r="F108" s="398"/>
      <c r="G108" s="407"/>
      <c r="H108" s="404">
        <f>J108/I108</f>
        <v>0</v>
      </c>
      <c r="I108" s="387">
        <f>Perfils!$G$6</f>
        <v>86.759999999999991</v>
      </c>
      <c r="J108" s="412">
        <f>I7</f>
        <v>0</v>
      </c>
      <c r="K108" s="410"/>
      <c r="L108" s="385"/>
      <c r="M108" s="391"/>
      <c r="N108" s="102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2"/>
      <c r="AE108" s="12"/>
      <c r="AF108" s="7"/>
    </row>
    <row r="109" spans="1:40" s="303" customFormat="1" ht="30.75" thickBot="1">
      <c r="A109" s="29"/>
      <c r="B109" s="29"/>
      <c r="C109" s="29"/>
      <c r="D109" s="626"/>
      <c r="E109" s="392" t="s">
        <v>157</v>
      </c>
      <c r="F109" s="399"/>
      <c r="G109" s="408"/>
      <c r="H109" s="405"/>
      <c r="I109" s="393"/>
      <c r="J109" s="413"/>
      <c r="K109" s="411">
        <f>M109/L109</f>
        <v>584.91199513437584</v>
      </c>
      <c r="L109" s="395">
        <f>Perfils!G16</f>
        <v>77.930000000000007</v>
      </c>
      <c r="M109" s="464">
        <f>I8</f>
        <v>45582.191780821915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2"/>
      <c r="AE109" s="12"/>
      <c r="AF109" s="7"/>
    </row>
    <row r="110" spans="1:40" s="303" customFormat="1" ht="15.75">
      <c r="A110" s="25" t="s">
        <v>6</v>
      </c>
      <c r="B110" s="24"/>
      <c r="C110" s="23"/>
      <c r="D110" s="90"/>
      <c r="E110" s="22"/>
      <c r="F110" s="22"/>
      <c r="G110" s="455">
        <f>SUM(G107:G109)</f>
        <v>142262.0205479452</v>
      </c>
      <c r="H110" s="22"/>
      <c r="I110" s="22"/>
      <c r="J110" s="455">
        <f>SUM(J107:J109)</f>
        <v>0</v>
      </c>
      <c r="K110" s="22"/>
      <c r="L110" s="22"/>
      <c r="M110" s="455">
        <f>SUM(M107:M109)</f>
        <v>45582.191780821915</v>
      </c>
      <c r="N110" s="198">
        <f>SUM(G110:M110)</f>
        <v>187844.21232876711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2"/>
      <c r="AE110" s="12"/>
      <c r="AF110" s="7"/>
    </row>
    <row r="111" spans="1:40" s="303" customFormat="1">
      <c r="A111" s="19"/>
      <c r="B111" s="18"/>
      <c r="C111" s="17"/>
      <c r="D111" s="121"/>
      <c r="E111" s="102"/>
      <c r="F111" s="122"/>
      <c r="G111" s="15"/>
      <c r="H111" s="15"/>
      <c r="I111" s="13"/>
      <c r="J111" s="15"/>
      <c r="K111" s="14"/>
      <c r="L111" s="13"/>
      <c r="M111" s="15"/>
      <c r="N111" s="14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2"/>
      <c r="AE111" s="12"/>
      <c r="AF111" s="7"/>
    </row>
    <row r="112" spans="1:40" s="303" customFormat="1" ht="16.5" thickBot="1">
      <c r="A112" s="477">
        <v>2025</v>
      </c>
      <c r="B112" s="477"/>
      <c r="C112" s="477"/>
      <c r="D112" s="477"/>
      <c r="E112" s="477"/>
      <c r="F112" s="477"/>
      <c r="G112" s="627" t="s">
        <v>204</v>
      </c>
      <c r="H112" s="627"/>
      <c r="I112" s="627"/>
      <c r="J112" s="627"/>
      <c r="K112" s="627"/>
      <c r="L112" s="627"/>
      <c r="N112" s="14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2"/>
      <c r="AE112" s="12"/>
      <c r="AF112" s="7"/>
    </row>
    <row r="113" spans="1:32" s="303" customFormat="1" ht="48" thickBot="1">
      <c r="A113" s="25" t="s">
        <v>13</v>
      </c>
      <c r="B113" s="25" t="s">
        <v>12</v>
      </c>
      <c r="C113" s="25" t="s">
        <v>11</v>
      </c>
      <c r="D113" s="25"/>
      <c r="E113" s="25" t="s">
        <v>10</v>
      </c>
      <c r="F113" s="25" t="s">
        <v>9</v>
      </c>
      <c r="G113" s="478" t="s">
        <v>95</v>
      </c>
      <c r="H113" s="479" t="s">
        <v>69</v>
      </c>
      <c r="I113" s="480" t="s">
        <v>96</v>
      </c>
      <c r="J113" s="481" t="s">
        <v>97</v>
      </c>
      <c r="K113" s="481" t="s">
        <v>69</v>
      </c>
      <c r="L113" s="482" t="s">
        <v>98</v>
      </c>
      <c r="N113" s="14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2"/>
      <c r="AE113" s="12"/>
      <c r="AF113" s="7"/>
    </row>
    <row r="114" spans="1:32" s="303" customFormat="1" ht="30">
      <c r="A114" s="29"/>
      <c r="B114" s="29"/>
      <c r="C114" s="29"/>
      <c r="D114" s="628" t="s">
        <v>182</v>
      </c>
      <c r="E114" s="414" t="s">
        <v>86</v>
      </c>
      <c r="F114" s="434"/>
      <c r="G114" s="432">
        <f>I114/H114</f>
        <v>1845.0593473313872</v>
      </c>
      <c r="H114" s="415">
        <f>Perfils!$G$9</f>
        <v>49.41</v>
      </c>
      <c r="I114" s="425">
        <f>I10</f>
        <v>91164.382351643842</v>
      </c>
      <c r="J114" s="435"/>
      <c r="K114" s="416"/>
      <c r="L114" s="417"/>
      <c r="N114" s="14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2"/>
      <c r="AE114" s="12"/>
      <c r="AF114" s="7"/>
    </row>
    <row r="115" spans="1:32" s="303" customFormat="1" ht="30.75" thickBot="1">
      <c r="A115" s="29"/>
      <c r="B115" s="29"/>
      <c r="C115" s="29"/>
      <c r="D115" s="629"/>
      <c r="E115" s="392" t="s">
        <v>87</v>
      </c>
      <c r="F115" s="399"/>
      <c r="G115" s="433"/>
      <c r="H115" s="394"/>
      <c r="I115" s="406"/>
      <c r="J115" s="409">
        <f>L115/K115</f>
        <v>2082.6465937018847</v>
      </c>
      <c r="K115" s="395">
        <f>Perfils!$G$13</f>
        <v>65.66</v>
      </c>
      <c r="L115" s="418">
        <f>I11</f>
        <v>136746.57534246575</v>
      </c>
      <c r="N115" s="14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2"/>
      <c r="AE115" s="12"/>
      <c r="AF115" s="7"/>
    </row>
    <row r="116" spans="1:32" s="303" customFormat="1" ht="15.75">
      <c r="A116" s="25" t="s">
        <v>6</v>
      </c>
      <c r="B116" s="24"/>
      <c r="C116" s="23"/>
      <c r="D116" s="90"/>
      <c r="E116" s="22"/>
      <c r="F116" s="22"/>
      <c r="G116" s="22"/>
      <c r="H116" s="22"/>
      <c r="I116" s="455">
        <f>SUM(I114:I115)</f>
        <v>91164.382351643842</v>
      </c>
      <c r="J116" s="456"/>
      <c r="K116" s="456"/>
      <c r="L116" s="461">
        <f>SUM(L114:L115)</f>
        <v>136746.57534246575</v>
      </c>
      <c r="M116" s="198">
        <f>SUM(I116:L116)</f>
        <v>227910.95769410959</v>
      </c>
      <c r="N116" s="14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2"/>
      <c r="AE116" s="12"/>
      <c r="AF116" s="7"/>
    </row>
    <row r="117" spans="1:32" s="303" customFormat="1">
      <c r="A117" s="29"/>
      <c r="B117" s="29"/>
      <c r="C117" s="29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  <c r="N117" s="14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2"/>
      <c r="AE117" s="12"/>
      <c r="AF117" s="7"/>
    </row>
    <row r="118" spans="1:32" s="303" customFormat="1" ht="16.5" thickBot="1">
      <c r="A118" s="477">
        <v>2025</v>
      </c>
      <c r="B118" s="477"/>
      <c r="C118" s="477"/>
      <c r="D118" s="477"/>
      <c r="E118" s="477"/>
      <c r="F118" s="477"/>
      <c r="G118" s="477" t="s">
        <v>205</v>
      </c>
      <c r="H118" s="381"/>
      <c r="I118" s="381"/>
      <c r="J118" s="381"/>
      <c r="K118" s="381"/>
      <c r="L118" s="381"/>
      <c r="M118" s="381"/>
      <c r="N118" s="14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2"/>
      <c r="AE118" s="12"/>
      <c r="AF118" s="7"/>
    </row>
    <row r="119" spans="1:32" s="303" customFormat="1" ht="32.25" thickBot="1">
      <c r="A119" s="25" t="s">
        <v>13</v>
      </c>
      <c r="B119" s="25" t="s">
        <v>12</v>
      </c>
      <c r="C119" s="25" t="s">
        <v>11</v>
      </c>
      <c r="D119" s="25"/>
      <c r="E119" s="25" t="s">
        <v>10</v>
      </c>
      <c r="F119" s="25" t="s">
        <v>9</v>
      </c>
      <c r="G119" s="483" t="s">
        <v>99</v>
      </c>
      <c r="H119" s="381"/>
      <c r="I119" s="381"/>
      <c r="J119" s="381"/>
      <c r="K119" s="381"/>
      <c r="L119" s="381"/>
      <c r="M119" s="381"/>
      <c r="N119" s="14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2"/>
      <c r="AE119" s="12"/>
      <c r="AF119" s="7"/>
    </row>
    <row r="120" spans="1:32" s="303" customFormat="1" ht="15.75" thickBot="1">
      <c r="A120" s="29"/>
      <c r="B120" s="29"/>
      <c r="C120" s="29"/>
      <c r="D120" s="424" t="s">
        <v>193</v>
      </c>
      <c r="E120" s="419" t="s">
        <v>77</v>
      </c>
      <c r="F120" s="420"/>
      <c r="G120" s="422">
        <f>I13</f>
        <v>350982.87671232875</v>
      </c>
      <c r="H120" s="381"/>
      <c r="I120" s="381"/>
      <c r="J120" s="381"/>
      <c r="K120" s="381"/>
      <c r="L120" s="381"/>
      <c r="M120" s="381"/>
      <c r="N120" s="14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2"/>
      <c r="AE120" s="12"/>
      <c r="AF120" s="7"/>
    </row>
    <row r="121" spans="1:32" s="303" customFormat="1" ht="15.75">
      <c r="A121" s="25" t="s">
        <v>6</v>
      </c>
      <c r="B121" s="24"/>
      <c r="C121" s="23"/>
      <c r="D121" s="90"/>
      <c r="E121" s="22"/>
      <c r="F121" s="22"/>
      <c r="G121" s="421">
        <f>SUM(G120)</f>
        <v>350982.87671232875</v>
      </c>
      <c r="H121" s="423">
        <f>SUM(G121)</f>
        <v>350982.87671232875</v>
      </c>
      <c r="I121" s="15"/>
      <c r="J121" s="15"/>
      <c r="K121" s="15"/>
      <c r="L121" s="14"/>
      <c r="M121" s="13"/>
      <c r="N121" s="14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2"/>
      <c r="AE121" s="12"/>
      <c r="AF121" s="7"/>
    </row>
    <row r="122" spans="1:32" s="303" customFormat="1">
      <c r="A122" s="19"/>
      <c r="B122" s="18"/>
      <c r="C122" s="17"/>
      <c r="D122" s="121"/>
      <c r="E122" s="102"/>
      <c r="F122" s="122"/>
      <c r="G122" s="15"/>
      <c r="H122" s="15"/>
      <c r="I122" s="13"/>
      <c r="J122" s="15"/>
      <c r="K122" s="14"/>
      <c r="L122" s="13"/>
      <c r="M122" s="15"/>
      <c r="N122" s="14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2"/>
      <c r="AE122" s="12"/>
      <c r="AF122" s="7"/>
    </row>
    <row r="123" spans="1:32" s="303" customFormat="1" ht="16.5" thickBot="1">
      <c r="A123" s="477">
        <v>2025</v>
      </c>
      <c r="B123" s="477"/>
      <c r="C123" s="477"/>
      <c r="D123" s="477"/>
      <c r="E123" s="477"/>
      <c r="F123" s="477"/>
      <c r="G123" s="622" t="s">
        <v>204</v>
      </c>
      <c r="H123" s="622"/>
      <c r="I123" s="622"/>
      <c r="J123" s="622"/>
      <c r="K123" s="622"/>
      <c r="L123" s="622"/>
      <c r="M123" s="13"/>
      <c r="N123" s="14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2"/>
      <c r="AE123" s="12"/>
      <c r="AF123" s="7"/>
    </row>
    <row r="124" spans="1:32" s="303" customFormat="1" ht="48" thickBot="1">
      <c r="A124" s="25" t="s">
        <v>13</v>
      </c>
      <c r="B124" s="25" t="s">
        <v>12</v>
      </c>
      <c r="C124" s="25" t="s">
        <v>11</v>
      </c>
      <c r="D124" s="25"/>
      <c r="E124" s="25" t="s">
        <v>10</v>
      </c>
      <c r="F124" s="25" t="s">
        <v>9</v>
      </c>
      <c r="G124" s="484" t="s">
        <v>100</v>
      </c>
      <c r="H124" s="485" t="s">
        <v>69</v>
      </c>
      <c r="I124" s="485" t="s">
        <v>101</v>
      </c>
      <c r="J124" s="484" t="s">
        <v>102</v>
      </c>
      <c r="K124" s="485" t="s">
        <v>69</v>
      </c>
      <c r="L124" s="486" t="s">
        <v>103</v>
      </c>
      <c r="M124" s="8"/>
      <c r="N124" s="14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2"/>
      <c r="AE124" s="12"/>
      <c r="AF124" s="7"/>
    </row>
    <row r="125" spans="1:32" s="303" customFormat="1" ht="30">
      <c r="A125" s="29"/>
      <c r="B125" s="29"/>
      <c r="C125" s="29"/>
      <c r="D125" s="620" t="s">
        <v>194</v>
      </c>
      <c r="E125" s="414" t="s">
        <v>79</v>
      </c>
      <c r="F125" s="434"/>
      <c r="G125" s="436">
        <f>I125/H125</f>
        <v>0</v>
      </c>
      <c r="H125" s="428">
        <f>Perfils!$G$21</f>
        <v>80.38</v>
      </c>
      <c r="I125" s="437">
        <f>I15</f>
        <v>0</v>
      </c>
      <c r="J125" s="439"/>
      <c r="K125" s="428"/>
      <c r="L125" s="437"/>
      <c r="M125" s="117"/>
      <c r="N125" s="14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2"/>
      <c r="AE125" s="12"/>
      <c r="AF125" s="7"/>
    </row>
    <row r="126" spans="1:32" s="303" customFormat="1" ht="30.75" thickBot="1">
      <c r="A126" s="29"/>
      <c r="B126" s="29"/>
      <c r="C126" s="29"/>
      <c r="D126" s="621"/>
      <c r="E126" s="392" t="s">
        <v>74</v>
      </c>
      <c r="F126" s="399"/>
      <c r="G126" s="433"/>
      <c r="H126" s="426"/>
      <c r="I126" s="418"/>
      <c r="J126" s="438">
        <f>L126/K126</f>
        <v>3349.8403739246473</v>
      </c>
      <c r="K126" s="426">
        <f>Perfils!$G$27</f>
        <v>74.839999999999989</v>
      </c>
      <c r="L126" s="418">
        <f>I16</f>
        <v>250702.05358452056</v>
      </c>
      <c r="N126" s="14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2"/>
      <c r="AE126" s="12"/>
      <c r="AF126" s="7"/>
    </row>
    <row r="127" spans="1:32" s="303" customFormat="1" ht="15.75">
      <c r="A127" s="25" t="s">
        <v>6</v>
      </c>
      <c r="B127" s="24"/>
      <c r="C127" s="23"/>
      <c r="D127" s="90"/>
      <c r="E127" s="22"/>
      <c r="F127" s="104"/>
      <c r="G127" s="21"/>
      <c r="H127" s="21"/>
      <c r="I127" s="20">
        <f>SUM(I125:I126)</f>
        <v>0</v>
      </c>
      <c r="J127" s="21"/>
      <c r="K127" s="21"/>
      <c r="L127" s="20">
        <f>SUM(L125:L126)</f>
        <v>250702.05358452056</v>
      </c>
      <c r="M127" s="457">
        <f>SUM(I127:L127)</f>
        <v>250702.05358452056</v>
      </c>
      <c r="N127" s="14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2"/>
      <c r="AE127" s="12"/>
      <c r="AF127" s="7"/>
    </row>
    <row r="129" spans="1:40" s="303" customFormat="1" ht="16.5" thickBot="1">
      <c r="A129" s="477">
        <v>2025</v>
      </c>
      <c r="B129" s="477"/>
      <c r="C129" s="477"/>
      <c r="D129" s="477"/>
      <c r="E129" s="477"/>
      <c r="F129" s="477"/>
      <c r="G129" s="622" t="s">
        <v>204</v>
      </c>
      <c r="H129" s="622"/>
      <c r="I129" s="622"/>
      <c r="J129" s="622"/>
      <c r="K129" s="622"/>
      <c r="L129" s="622"/>
      <c r="M129" s="101"/>
      <c r="N129" s="14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2"/>
      <c r="AE129" s="12"/>
      <c r="AF129" s="7"/>
    </row>
    <row r="130" spans="1:40" s="303" customFormat="1" ht="32.25" thickBot="1">
      <c r="A130" s="25" t="s">
        <v>13</v>
      </c>
      <c r="B130" s="25" t="s">
        <v>12</v>
      </c>
      <c r="C130" s="25" t="s">
        <v>11</v>
      </c>
      <c r="D130" s="25"/>
      <c r="E130" s="25" t="s">
        <v>10</v>
      </c>
      <c r="F130" s="25" t="s">
        <v>9</v>
      </c>
      <c r="G130" s="478" t="s">
        <v>104</v>
      </c>
      <c r="H130" s="479" t="s">
        <v>69</v>
      </c>
      <c r="I130" s="480" t="s">
        <v>105</v>
      </c>
      <c r="J130" s="479" t="s">
        <v>131</v>
      </c>
      <c r="K130" s="479" t="s">
        <v>69</v>
      </c>
      <c r="L130" s="480" t="s">
        <v>132</v>
      </c>
      <c r="M130" s="101"/>
      <c r="N130" s="14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2"/>
      <c r="AE130" s="12"/>
      <c r="AF130" s="7"/>
    </row>
    <row r="131" spans="1:40" s="303" customFormat="1">
      <c r="A131" s="89"/>
      <c r="B131" s="16"/>
      <c r="C131" s="16"/>
      <c r="D131" s="642" t="s">
        <v>195</v>
      </c>
      <c r="E131" s="414" t="s">
        <v>75</v>
      </c>
      <c r="F131" s="434"/>
      <c r="G131" s="444">
        <f>I131/H131</f>
        <v>937.51937023492223</v>
      </c>
      <c r="H131" s="440">
        <f>Perfils!$G$32</f>
        <v>97.24</v>
      </c>
      <c r="I131" s="441">
        <f>I18</f>
        <v>91164.38356164383</v>
      </c>
      <c r="J131" s="446"/>
      <c r="K131" s="440"/>
      <c r="L131" s="441"/>
      <c r="M131" s="101"/>
      <c r="N131" s="14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2"/>
      <c r="AE131" s="12"/>
      <c r="AF131" s="7"/>
    </row>
    <row r="132" spans="1:40" s="303" customFormat="1" ht="15.75" thickBot="1">
      <c r="A132" s="89"/>
      <c r="B132" s="16"/>
      <c r="C132" s="16"/>
      <c r="D132" s="643"/>
      <c r="E132" s="392" t="s">
        <v>129</v>
      </c>
      <c r="F132" s="399"/>
      <c r="G132" s="445"/>
      <c r="H132" s="442"/>
      <c r="I132" s="443"/>
      <c r="J132" s="447">
        <f>L132/K132</f>
        <v>439.55245531519427</v>
      </c>
      <c r="K132" s="442">
        <f>Perfils!G30</f>
        <v>68.819999999999993</v>
      </c>
      <c r="L132" s="443">
        <f>I19</f>
        <v>30249.999974791666</v>
      </c>
      <c r="M132" s="101"/>
      <c r="N132" s="14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2"/>
      <c r="AE132" s="12"/>
      <c r="AF132" s="7"/>
    </row>
    <row r="133" spans="1:40" s="303" customFormat="1" ht="15.75">
      <c r="A133" s="25" t="s">
        <v>6</v>
      </c>
      <c r="B133" s="24"/>
      <c r="C133" s="23"/>
      <c r="D133" s="90"/>
      <c r="E133" s="22"/>
      <c r="F133" s="104"/>
      <c r="G133" s="21"/>
      <c r="H133" s="21"/>
      <c r="I133" s="20">
        <f>SUM(I131:I132)</f>
        <v>91164.38356164383</v>
      </c>
      <c r="J133" s="21"/>
      <c r="K133" s="21"/>
      <c r="L133" s="20">
        <f>SUM(L131:L132)</f>
        <v>30249.999974791666</v>
      </c>
      <c r="M133" s="458">
        <f>SUM(I133:L133)</f>
        <v>121414.38353643549</v>
      </c>
      <c r="N133" s="14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2"/>
      <c r="AE133" s="12"/>
      <c r="AF133" s="7"/>
    </row>
    <row r="136" spans="1:40" ht="16.5" thickBot="1">
      <c r="A136" s="477">
        <v>2025</v>
      </c>
      <c r="B136" s="477"/>
      <c r="C136" s="477"/>
      <c r="D136" s="477"/>
      <c r="E136" s="477"/>
      <c r="F136" s="641" t="s">
        <v>206</v>
      </c>
      <c r="G136" s="641"/>
      <c r="H136" s="641"/>
      <c r="I136" s="9"/>
      <c r="AG136" s="7"/>
      <c r="AH136" s="7"/>
      <c r="AI136" s="8"/>
      <c r="AK136" s="7"/>
      <c r="AM136" s="8"/>
      <c r="AN136" s="8"/>
    </row>
    <row r="137" spans="1:40" ht="47.25">
      <c r="A137" s="25" t="s">
        <v>13</v>
      </c>
      <c r="B137" s="25" t="s">
        <v>12</v>
      </c>
      <c r="C137" s="25" t="s">
        <v>11</v>
      </c>
      <c r="D137" s="25" t="s">
        <v>10</v>
      </c>
      <c r="E137" s="25" t="s">
        <v>9</v>
      </c>
      <c r="F137" s="483" t="s">
        <v>94</v>
      </c>
      <c r="G137" s="481" t="s">
        <v>69</v>
      </c>
      <c r="H137" s="482" t="s">
        <v>154</v>
      </c>
      <c r="I137" s="9"/>
      <c r="AG137" s="7"/>
      <c r="AH137" s="7"/>
      <c r="AI137" s="8"/>
      <c r="AK137" s="7"/>
      <c r="AM137" s="8"/>
      <c r="AN137" s="8"/>
    </row>
    <row r="138" spans="1:40">
      <c r="A138" s="19"/>
      <c r="B138" s="18"/>
      <c r="C138" s="17"/>
      <c r="D138" s="127" t="s">
        <v>81</v>
      </c>
      <c r="E138" s="26"/>
      <c r="F138" s="238">
        <f>H138/G138</f>
        <v>231.19055706521738</v>
      </c>
      <c r="G138" s="243">
        <f>Perfils!G38</f>
        <v>58.88</v>
      </c>
      <c r="H138" s="128">
        <f>Taula1[[#Totals],[import 2025
IVA inc]]</f>
        <v>13612.5</v>
      </c>
      <c r="I138" s="9"/>
      <c r="AG138" s="7"/>
      <c r="AH138" s="7"/>
      <c r="AI138" s="8"/>
      <c r="AK138" s="7"/>
      <c r="AM138" s="8"/>
      <c r="AN138" s="8"/>
    </row>
    <row r="139" spans="1:40" ht="15.75">
      <c r="A139" s="25" t="s">
        <v>6</v>
      </c>
      <c r="B139" s="24"/>
      <c r="C139" s="23"/>
      <c r="D139" s="90"/>
      <c r="E139" s="22"/>
      <c r="F139" s="22"/>
      <c r="G139" s="22"/>
      <c r="H139" s="106">
        <f>SUM(H138)</f>
        <v>13612.5</v>
      </c>
      <c r="I139" s="462">
        <f>SUM(H139)</f>
        <v>13612.5</v>
      </c>
      <c r="AG139" s="7"/>
      <c r="AH139" s="7"/>
      <c r="AI139" s="8"/>
      <c r="AK139" s="7"/>
      <c r="AM139" s="8"/>
      <c r="AN139" s="8"/>
    </row>
    <row r="142" spans="1:40">
      <c r="K142" s="463"/>
    </row>
  </sheetData>
  <mergeCells count="42">
    <mergeCell ref="F136:H136"/>
    <mergeCell ref="D131:D132"/>
    <mergeCell ref="G34:M34"/>
    <mergeCell ref="D54:D55"/>
    <mergeCell ref="D60:D61"/>
    <mergeCell ref="D43:D44"/>
    <mergeCell ref="G70:M70"/>
    <mergeCell ref="D72:D74"/>
    <mergeCell ref="G77:L77"/>
    <mergeCell ref="D79:D80"/>
    <mergeCell ref="G88:L88"/>
    <mergeCell ref="D90:D91"/>
    <mergeCell ref="A100:E100"/>
    <mergeCell ref="F100:H100"/>
    <mergeCell ref="G94:L94"/>
    <mergeCell ref="D96:D97"/>
    <mergeCell ref="S6:T6"/>
    <mergeCell ref="S7:T7"/>
    <mergeCell ref="S10:T10"/>
    <mergeCell ref="S11:T11"/>
    <mergeCell ref="S13:T13"/>
    <mergeCell ref="S8:T8"/>
    <mergeCell ref="S15:T15"/>
    <mergeCell ref="S16:T16"/>
    <mergeCell ref="S18:T18"/>
    <mergeCell ref="S19:T19"/>
    <mergeCell ref="D36:D38"/>
    <mergeCell ref="C18:C19"/>
    <mergeCell ref="C6:C8"/>
    <mergeCell ref="C10:C11"/>
    <mergeCell ref="C15:C16"/>
    <mergeCell ref="G64:I64"/>
    <mergeCell ref="G41:L41"/>
    <mergeCell ref="G52:L52"/>
    <mergeCell ref="G58:L58"/>
    <mergeCell ref="D125:D126"/>
    <mergeCell ref="G129:L129"/>
    <mergeCell ref="G105:M105"/>
    <mergeCell ref="D107:D109"/>
    <mergeCell ref="G112:L112"/>
    <mergeCell ref="D114:D115"/>
    <mergeCell ref="G123:L123"/>
  </mergeCells>
  <pageMargins left="0.7" right="0.7" top="0.75" bottom="0.75" header="0.3" footer="0.3"/>
  <pageSetup paperSize="9" orientation="portrait" r:id="rId1"/>
  <ignoredErrors>
    <ignoredError sqref="O16" calculatedColumn="1"/>
  </ignoredErrors>
  <legacy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13" workbookViewId="0">
      <selection activeCell="C18" sqref="C18"/>
    </sheetView>
  </sheetViews>
  <sheetFormatPr defaultColWidth="11.42578125" defaultRowHeight="15"/>
  <cols>
    <col min="1" max="1" width="10.7109375" bestFit="1" customWidth="1"/>
    <col min="2" max="2" width="50.28515625" bestFit="1" customWidth="1"/>
    <col min="3" max="3" width="55" customWidth="1"/>
    <col min="4" max="6" width="13" bestFit="1" customWidth="1"/>
    <col min="7" max="7" width="14.7109375" bestFit="1" customWidth="1"/>
    <col min="8" max="8" width="9.85546875" bestFit="1" customWidth="1"/>
    <col min="9" max="9" width="11.42578125" customWidth="1"/>
    <col min="10" max="10" width="7.140625" customWidth="1"/>
    <col min="11" max="11" width="75.7109375" customWidth="1"/>
    <col min="12" max="12" width="5.5703125" customWidth="1"/>
  </cols>
  <sheetData>
    <row r="1" spans="1:15" ht="12" customHeight="1" thickBot="1">
      <c r="B1" s="3"/>
    </row>
    <row r="2" spans="1:15" ht="45.75" thickBot="1">
      <c r="B2" s="116" t="s">
        <v>0</v>
      </c>
      <c r="C2" s="139" t="s">
        <v>1</v>
      </c>
      <c r="D2" s="139" t="s">
        <v>2</v>
      </c>
      <c r="E2" s="140" t="s">
        <v>3</v>
      </c>
      <c r="F2" s="140" t="s">
        <v>4</v>
      </c>
      <c r="G2" s="141" t="s">
        <v>71</v>
      </c>
      <c r="H2" s="2"/>
      <c r="I2" s="278" t="s">
        <v>176</v>
      </c>
      <c r="K2" s="280" t="s">
        <v>210</v>
      </c>
      <c r="L2" s="493" t="s">
        <v>213</v>
      </c>
      <c r="M2" s="494" t="s">
        <v>178</v>
      </c>
    </row>
    <row r="3" spans="1:15">
      <c r="A3" s="648" t="s">
        <v>80</v>
      </c>
      <c r="B3" s="657" t="s">
        <v>91</v>
      </c>
      <c r="C3" s="145" t="str">
        <f>C45</f>
        <v>Arquitecte/a</v>
      </c>
      <c r="D3" s="146">
        <v>0.2</v>
      </c>
      <c r="E3" s="147">
        <f>+D45</f>
        <v>104.73</v>
      </c>
      <c r="F3" s="147">
        <f>+ROUND(E3/1.21,2)</f>
        <v>86.55</v>
      </c>
      <c r="G3" s="148">
        <f>ROUND(E3*D3,4)</f>
        <v>20.946000000000002</v>
      </c>
      <c r="H3" s="2"/>
      <c r="I3" s="260">
        <f>G3/1.21</f>
        <v>17.310743801652894</v>
      </c>
      <c r="K3" s="281" t="s">
        <v>268</v>
      </c>
      <c r="L3" s="282">
        <v>1.3</v>
      </c>
      <c r="M3" s="495">
        <f>GETPIVOTDATA("% dedicació",$K$2,"Perfil","Arquitecte/a")/H33</f>
        <v>5.6250000000000001E-2</v>
      </c>
      <c r="O3" s="4"/>
    </row>
    <row r="4" spans="1:15">
      <c r="A4" s="648"/>
      <c r="B4" s="657"/>
      <c r="C4" s="149" t="str">
        <f>C46</f>
        <v>Tècnic/a especialista productes - Consultor/a especialista</v>
      </c>
      <c r="D4" s="142">
        <v>0.6</v>
      </c>
      <c r="E4" s="143">
        <f>+D46</f>
        <v>89.76</v>
      </c>
      <c r="F4" s="143">
        <f>+ROUND(E4/1.21,2)</f>
        <v>74.180000000000007</v>
      </c>
      <c r="G4" s="150">
        <f>ROUND(E4*D4,4)</f>
        <v>53.856000000000002</v>
      </c>
      <c r="H4" s="2"/>
      <c r="I4" s="260">
        <f t="shared" ref="I4:I32" si="0">G4/1.21</f>
        <v>44.509090909090915</v>
      </c>
      <c r="K4" s="281" t="s">
        <v>269</v>
      </c>
      <c r="L4" s="282">
        <v>0.89999999999999991</v>
      </c>
      <c r="M4" s="495">
        <f>GETPIVOTDATA("% dedicació",$K$2,"Perfil","Cap de projecte - Responsable dels serveis")/H33</f>
        <v>0.17499999999999999</v>
      </c>
      <c r="O4" s="495"/>
    </row>
    <row r="5" spans="1:15">
      <c r="A5" s="648"/>
      <c r="B5" s="657"/>
      <c r="C5" s="149" t="str">
        <f>C47</f>
        <v>Administrador/a i Tècnic/a de  Sistemes - Consultor júnior</v>
      </c>
      <c r="D5" s="142">
        <v>0.2</v>
      </c>
      <c r="E5" s="143">
        <f>+D47</f>
        <v>59.85</v>
      </c>
      <c r="F5" s="143">
        <f>+ROUND(E5/1.21,2)</f>
        <v>49.46</v>
      </c>
      <c r="G5" s="150">
        <f>ROUND(E5*D5,4)</f>
        <v>11.97</v>
      </c>
      <c r="H5" s="2"/>
      <c r="I5" s="260">
        <f t="shared" si="0"/>
        <v>9.8925619834710758</v>
      </c>
      <c r="K5" s="281" t="s">
        <v>179</v>
      </c>
      <c r="L5" s="282">
        <v>0.45</v>
      </c>
      <c r="M5" s="495">
        <f>GETPIVOTDATA("% dedicació",$K$2,"Perfil","Tècnic/a especialista productes - Consultor/a especialista")/H33</f>
        <v>0.26250000000000001</v>
      </c>
      <c r="O5" s="4"/>
    </row>
    <row r="6" spans="1:15" ht="15.75" thickBot="1">
      <c r="A6" s="648"/>
      <c r="B6" s="657"/>
      <c r="C6" s="151" t="s">
        <v>5</v>
      </c>
      <c r="D6" s="152"/>
      <c r="E6" s="159"/>
      <c r="F6" s="160"/>
      <c r="G6" s="161">
        <f>ROUND(SUM(G3:G5),2)-0.01</f>
        <v>86.759999999999991</v>
      </c>
      <c r="H6" s="4">
        <f>SUM(D3:D5)</f>
        <v>1</v>
      </c>
      <c r="I6" s="279">
        <f>G6/1.21</f>
        <v>71.702479338842963</v>
      </c>
      <c r="K6" s="281" t="s">
        <v>180</v>
      </c>
      <c r="L6" s="282">
        <v>1.4</v>
      </c>
      <c r="M6" s="495">
        <f>GETPIVOTDATA("% dedicació",$K$2,"Perfil","Administrador/a i Tècnic/a de  Sistemes - Consultor júnior")/H33</f>
        <v>0.16250000000000001</v>
      </c>
      <c r="O6" s="4"/>
    </row>
    <row r="7" spans="1:15">
      <c r="A7" s="648"/>
      <c r="B7" s="661" t="s">
        <v>90</v>
      </c>
      <c r="C7" s="145" t="str">
        <f>C47</f>
        <v>Administrador/a i Tècnic/a de  Sistemes - Consultor júnior</v>
      </c>
      <c r="D7" s="146">
        <v>0.4</v>
      </c>
      <c r="E7" s="147">
        <f>+D47</f>
        <v>59.85</v>
      </c>
      <c r="F7" s="147">
        <f>+ROUND(E7/1.21,2)</f>
        <v>49.46</v>
      </c>
      <c r="G7" s="148">
        <f>E7*D7</f>
        <v>23.94</v>
      </c>
      <c r="I7" s="260">
        <f t="shared" si="0"/>
        <v>19.785123966942152</v>
      </c>
      <c r="K7" s="281" t="s">
        <v>266</v>
      </c>
      <c r="L7" s="282">
        <v>1</v>
      </c>
      <c r="M7" s="495">
        <f>GETPIVOTDATA("% dedicació",$K$2,"Perfil","Tècnic/a sistemes júnior - Tecnic testing")/H33</f>
        <v>0.10625</v>
      </c>
      <c r="O7" s="4"/>
    </row>
    <row r="8" spans="1:15">
      <c r="A8" s="648"/>
      <c r="B8" s="657"/>
      <c r="C8" s="149" t="str">
        <f>C49</f>
        <v>Tècnic/a sistemes júnior - Tecnic testing</v>
      </c>
      <c r="D8" s="142">
        <v>0.6</v>
      </c>
      <c r="E8" s="143">
        <f>+D49</f>
        <v>42.45</v>
      </c>
      <c r="F8" s="143">
        <f>+ROUND(E8/1.21,2)</f>
        <v>35.08</v>
      </c>
      <c r="G8" s="150">
        <f>E8*D8</f>
        <v>25.470000000000002</v>
      </c>
      <c r="I8" s="260">
        <f t="shared" si="0"/>
        <v>21.049586776859506</v>
      </c>
      <c r="K8" s="281" t="s">
        <v>267</v>
      </c>
      <c r="L8" s="282">
        <v>2.1</v>
      </c>
      <c r="M8" s="495">
        <f>GETPIVOTDATA("% dedicació",$K$2,"Perfil","Programador/a júnior")/H33</f>
        <v>0.125</v>
      </c>
      <c r="O8" s="4"/>
    </row>
    <row r="9" spans="1:15" ht="15.75" thickBot="1">
      <c r="A9" s="648"/>
      <c r="B9" s="662"/>
      <c r="C9" s="151" t="s">
        <v>5</v>
      </c>
      <c r="D9" s="152"/>
      <c r="E9" s="159"/>
      <c r="F9" s="160"/>
      <c r="G9" s="161">
        <f>ROUND(SUM(G7:G8),2)</f>
        <v>49.41</v>
      </c>
      <c r="H9" s="4">
        <f>SUM(D7:D8)</f>
        <v>1</v>
      </c>
      <c r="I9" s="279">
        <f t="shared" si="0"/>
        <v>40.834710743801651</v>
      </c>
      <c r="K9" s="281" t="s">
        <v>270</v>
      </c>
      <c r="L9" s="282">
        <v>0.85</v>
      </c>
      <c r="M9" s="495">
        <f>GETPIVOTDATA("% dedicació",$K$2,"Perfil","Analista programador/a - analista user experience -Programador/a sènior")/H33</f>
        <v>0.11249999999999999</v>
      </c>
      <c r="O9" s="4"/>
    </row>
    <row r="10" spans="1:15">
      <c r="A10" s="648"/>
      <c r="B10" s="658" t="s">
        <v>87</v>
      </c>
      <c r="C10" s="145" t="str">
        <f>C50</f>
        <v>Programador/a júnior</v>
      </c>
      <c r="D10" s="146">
        <v>0.7</v>
      </c>
      <c r="E10" s="147">
        <f>+D50</f>
        <v>53.19</v>
      </c>
      <c r="F10" s="147">
        <f>+ROUND(E10/1.21,2)</f>
        <v>43.96</v>
      </c>
      <c r="G10" s="148">
        <f>ROUND(E10*D10,4)</f>
        <v>37.232999999999997</v>
      </c>
      <c r="I10" s="260">
        <f t="shared" si="0"/>
        <v>30.771074380165288</v>
      </c>
      <c r="K10" s="281" t="s">
        <v>177</v>
      </c>
      <c r="L10" s="282">
        <v>8</v>
      </c>
      <c r="M10" s="4">
        <f>SUM(M3:M9)</f>
        <v>1</v>
      </c>
      <c r="O10" s="4"/>
    </row>
    <row r="11" spans="1:15">
      <c r="A11" s="648"/>
      <c r="B11" s="659"/>
      <c r="C11" s="149" t="str">
        <f>C45</f>
        <v>Arquitecte/a</v>
      </c>
      <c r="D11" s="142">
        <v>0.1</v>
      </c>
      <c r="E11" s="143">
        <f>+D45</f>
        <v>104.73</v>
      </c>
      <c r="F11" s="143">
        <f>+ROUND(E11/1.21,2)</f>
        <v>86.55</v>
      </c>
      <c r="G11" s="150">
        <f>ROUND(E11*D11,4)</f>
        <v>10.473000000000001</v>
      </c>
      <c r="I11" s="260">
        <f t="shared" si="0"/>
        <v>8.6553719008264469</v>
      </c>
    </row>
    <row r="12" spans="1:15">
      <c r="A12" s="648"/>
      <c r="B12" s="659"/>
      <c r="C12" s="149" t="str">
        <f>C46</f>
        <v>Tècnic/a especialista productes - Consultor/a especialista</v>
      </c>
      <c r="D12" s="142">
        <v>0.2</v>
      </c>
      <c r="E12" s="143">
        <f>+D46</f>
        <v>89.76</v>
      </c>
      <c r="F12" s="143">
        <f>+ROUND(E12/1.21,2)</f>
        <v>74.180000000000007</v>
      </c>
      <c r="G12" s="150">
        <f>ROUND(E12*D12,4)</f>
        <v>17.952000000000002</v>
      </c>
      <c r="I12" s="260">
        <f t="shared" si="0"/>
        <v>14.836363636363638</v>
      </c>
      <c r="K12" s="281"/>
      <c r="L12" s="282"/>
    </row>
    <row r="13" spans="1:15" ht="15.75" thickBot="1">
      <c r="A13" s="648"/>
      <c r="B13" s="660"/>
      <c r="C13" s="151" t="s">
        <v>5</v>
      </c>
      <c r="D13" s="152"/>
      <c r="E13" s="159"/>
      <c r="F13" s="160"/>
      <c r="G13" s="161">
        <f>ROUND(SUM(G10:G12),2)</f>
        <v>65.66</v>
      </c>
      <c r="H13" s="4">
        <f>SUM(D10:D12)</f>
        <v>1</v>
      </c>
      <c r="I13" s="279">
        <f t="shared" si="0"/>
        <v>54.264462809917354</v>
      </c>
    </row>
    <row r="14" spans="1:15" s="88" customFormat="1">
      <c r="A14" s="648"/>
      <c r="B14" s="666" t="s">
        <v>158</v>
      </c>
      <c r="C14" s="149" t="str">
        <f>C46</f>
        <v>Tècnic/a especialista productes - Consultor/a especialista</v>
      </c>
      <c r="D14" s="142">
        <v>0.75</v>
      </c>
      <c r="E14" s="143">
        <f>D46</f>
        <v>89.76</v>
      </c>
      <c r="F14" s="143">
        <f>+ROUND(E14/1.21,2)</f>
        <v>74.180000000000007</v>
      </c>
      <c r="G14" s="150">
        <f>ROUND(E14*D14,4)</f>
        <v>67.319999999999993</v>
      </c>
      <c r="H14" s="4"/>
      <c r="I14" s="260">
        <f t="shared" si="0"/>
        <v>55.636363636363633</v>
      </c>
      <c r="K14"/>
      <c r="L14"/>
      <c r="M14"/>
    </row>
    <row r="15" spans="1:15" s="88" customFormat="1">
      <c r="A15" s="648"/>
      <c r="B15" s="667"/>
      <c r="C15" s="149" t="str">
        <f>C49</f>
        <v>Tècnic/a sistemes júnior - Tecnic testing</v>
      </c>
      <c r="D15" s="142">
        <v>0.25</v>
      </c>
      <c r="E15" s="143">
        <f>D49</f>
        <v>42.45</v>
      </c>
      <c r="F15" s="143">
        <f>+ROUND(E15/1.21,2)</f>
        <v>35.08</v>
      </c>
      <c r="G15" s="150">
        <f>ROUND(E15*D15,4)</f>
        <v>10.612500000000001</v>
      </c>
      <c r="H15" s="4"/>
      <c r="I15" s="260">
        <f t="shared" si="0"/>
        <v>8.7706611570247937</v>
      </c>
      <c r="M15"/>
    </row>
    <row r="16" spans="1:15" s="88" customFormat="1" ht="15.75" thickBot="1">
      <c r="A16" s="648"/>
      <c r="B16" s="668"/>
      <c r="C16" s="151" t="s">
        <v>5</v>
      </c>
      <c r="D16" s="244"/>
      <c r="E16" s="245"/>
      <c r="F16" s="246"/>
      <c r="G16" s="247">
        <f>ROUND(SUM(G14:G15),2)</f>
        <v>77.930000000000007</v>
      </c>
      <c r="H16" s="4">
        <f>SUM(D14:D15)</f>
        <v>1</v>
      </c>
      <c r="I16" s="279">
        <f t="shared" si="0"/>
        <v>64.404958677685954</v>
      </c>
      <c r="M16"/>
    </row>
    <row r="17" spans="1:13" s="88" customFormat="1" ht="15" customHeight="1">
      <c r="A17" s="648"/>
      <c r="B17" s="661" t="s">
        <v>78</v>
      </c>
      <c r="C17" s="145" t="str">
        <f>C44</f>
        <v>Cap de projecte - Responsable dels serveis</v>
      </c>
      <c r="D17" s="146">
        <v>0.2</v>
      </c>
      <c r="E17" s="147">
        <f>D44</f>
        <v>97.24</v>
      </c>
      <c r="F17" s="147">
        <f>+ROUND(E17/1.21,2)</f>
        <v>80.36</v>
      </c>
      <c r="G17" s="148">
        <f>ROUND(E17*D17,4)</f>
        <v>19.448</v>
      </c>
      <c r="I17" s="260">
        <f t="shared" si="0"/>
        <v>16.072727272727274</v>
      </c>
      <c r="M17"/>
    </row>
    <row r="18" spans="1:13" s="88" customFormat="1">
      <c r="A18" s="648"/>
      <c r="B18" s="657"/>
      <c r="C18" s="149" t="str">
        <f>C45</f>
        <v>Arquitecte/a</v>
      </c>
      <c r="D18" s="142">
        <v>0.1</v>
      </c>
      <c r="E18" s="143">
        <f>D45</f>
        <v>104.73</v>
      </c>
      <c r="F18" s="143">
        <f>+ROUND(E18/1.21,2)</f>
        <v>86.55</v>
      </c>
      <c r="G18" s="150">
        <f>ROUND(E18*D18,4)</f>
        <v>10.473000000000001</v>
      </c>
      <c r="H18" s="2"/>
      <c r="I18" s="260">
        <f t="shared" si="0"/>
        <v>8.6553719008264469</v>
      </c>
      <c r="M18"/>
    </row>
    <row r="19" spans="1:13" s="88" customFormat="1">
      <c r="A19" s="648"/>
      <c r="B19" s="657"/>
      <c r="C19" s="149" t="str">
        <f>C46</f>
        <v>Tècnic/a especialista productes - Consultor/a especialista</v>
      </c>
      <c r="D19" s="142">
        <v>0.1</v>
      </c>
      <c r="E19" s="143">
        <f>D46</f>
        <v>89.76</v>
      </c>
      <c r="F19" s="143">
        <f>+ROUND(E19/1.21,2)</f>
        <v>74.180000000000007</v>
      </c>
      <c r="G19" s="150">
        <f>ROUND(E19*D19,4)</f>
        <v>8.9760000000000009</v>
      </c>
      <c r="H19" s="2"/>
      <c r="I19" s="260">
        <f t="shared" si="0"/>
        <v>7.4181818181818189</v>
      </c>
      <c r="M19"/>
    </row>
    <row r="20" spans="1:13" s="88" customFormat="1" ht="30">
      <c r="A20" s="648"/>
      <c r="B20" s="657"/>
      <c r="C20" s="153" t="str">
        <f>C48</f>
        <v>Analista programador/a - analista user experience -Programador/a sènior</v>
      </c>
      <c r="D20" s="142">
        <v>0.6</v>
      </c>
      <c r="E20" s="143">
        <f>+D48</f>
        <v>69.150000000000006</v>
      </c>
      <c r="F20" s="143">
        <f>+ROUND(E20/1.21,2)</f>
        <v>57.15</v>
      </c>
      <c r="G20" s="150">
        <f>ROUND(E20*D20,4)</f>
        <v>41.49</v>
      </c>
      <c r="H20" s="2"/>
      <c r="I20" s="260">
        <f t="shared" si="0"/>
        <v>34.289256198347111</v>
      </c>
      <c r="M20"/>
    </row>
    <row r="21" spans="1:13" s="88" customFormat="1" ht="15.75" thickBot="1">
      <c r="A21" s="648"/>
      <c r="B21" s="662"/>
      <c r="C21" s="151" t="s">
        <v>5</v>
      </c>
      <c r="D21" s="152"/>
      <c r="E21" s="159"/>
      <c r="F21" s="160"/>
      <c r="G21" s="161">
        <f>ROUND(SUM(G17:G20),2)-0.01</f>
        <v>80.38</v>
      </c>
      <c r="H21" s="4">
        <f>SUM(D17:D20)</f>
        <v>1</v>
      </c>
      <c r="I21" s="279">
        <f t="shared" si="0"/>
        <v>66.429752066115697</v>
      </c>
      <c r="M21"/>
    </row>
    <row r="22" spans="1:13" s="88" customFormat="1">
      <c r="A22" s="648"/>
      <c r="B22" s="656" t="s">
        <v>74</v>
      </c>
      <c r="C22" s="154" t="str">
        <f>C44</f>
        <v>Cap de projecte - Responsable dels serveis</v>
      </c>
      <c r="D22" s="155">
        <v>0.2</v>
      </c>
      <c r="E22" s="162">
        <f>D44</f>
        <v>97.24</v>
      </c>
      <c r="F22" s="163">
        <f>+ROUND(E22/1.21,2)</f>
        <v>80.36</v>
      </c>
      <c r="G22" s="164">
        <f>ROUND(E22*D22,4)</f>
        <v>19.448</v>
      </c>
      <c r="H22" s="4"/>
      <c r="I22" s="260">
        <f t="shared" si="0"/>
        <v>16.072727272727274</v>
      </c>
      <c r="M22"/>
    </row>
    <row r="23" spans="1:13" s="88" customFormat="1">
      <c r="A23" s="648"/>
      <c r="B23" s="654"/>
      <c r="C23" s="156" t="str">
        <f>C45</f>
        <v>Arquitecte/a</v>
      </c>
      <c r="D23" s="144">
        <v>0.05</v>
      </c>
      <c r="E23" s="165">
        <f>D45</f>
        <v>104.73</v>
      </c>
      <c r="F23" s="166">
        <f>+ROUND(E23/1.21,2)</f>
        <v>86.55</v>
      </c>
      <c r="G23" s="167">
        <f>ROUND(E23*D23,4)</f>
        <v>5.2365000000000004</v>
      </c>
      <c r="I23" s="260">
        <f t="shared" si="0"/>
        <v>4.3276859504132235</v>
      </c>
      <c r="M23"/>
    </row>
    <row r="24" spans="1:13" s="88" customFormat="1">
      <c r="A24" s="648"/>
      <c r="B24" s="654"/>
      <c r="C24" s="157" t="str">
        <f>C46</f>
        <v>Tècnic/a especialista productes - Consultor/a especialista</v>
      </c>
      <c r="D24" s="144">
        <v>0.15</v>
      </c>
      <c r="E24" s="165">
        <f>D46</f>
        <v>89.76</v>
      </c>
      <c r="F24" s="166">
        <f>+ROUND(E24/1.21,2)</f>
        <v>74.180000000000007</v>
      </c>
      <c r="G24" s="167">
        <f>ROUND(E24*D24,4)</f>
        <v>13.464</v>
      </c>
      <c r="I24" s="260">
        <f t="shared" si="0"/>
        <v>11.127272727272729</v>
      </c>
      <c r="M24"/>
    </row>
    <row r="25" spans="1:13" s="88" customFormat="1" ht="26.25">
      <c r="A25" s="648"/>
      <c r="B25" s="654"/>
      <c r="C25" s="158" t="str">
        <f>C48</f>
        <v>Analista programador/a - analista user experience -Programador/a sènior</v>
      </c>
      <c r="D25" s="144">
        <v>0.3</v>
      </c>
      <c r="E25" s="165">
        <f>D48</f>
        <v>69.150000000000006</v>
      </c>
      <c r="F25" s="166">
        <f>+ROUND(E25/1.21,2)</f>
        <v>57.15</v>
      </c>
      <c r="G25" s="167">
        <f>ROUND(E25*D25,4)</f>
        <v>20.745000000000001</v>
      </c>
      <c r="I25" s="260">
        <f t="shared" si="0"/>
        <v>17.144628099173556</v>
      </c>
      <c r="K25"/>
      <c r="L25"/>
      <c r="M25"/>
    </row>
    <row r="26" spans="1:13" s="88" customFormat="1">
      <c r="A26" s="648"/>
      <c r="B26" s="654"/>
      <c r="C26" s="157" t="str">
        <f>C50</f>
        <v>Programador/a júnior</v>
      </c>
      <c r="D26" s="144">
        <v>0.3</v>
      </c>
      <c r="E26" s="165">
        <f>D50</f>
        <v>53.19</v>
      </c>
      <c r="F26" s="166">
        <f>+ROUND(E26/1.21,2)</f>
        <v>43.96</v>
      </c>
      <c r="G26" s="167">
        <f>ROUND(E26*D26,4)</f>
        <v>15.957000000000001</v>
      </c>
      <c r="I26" s="260">
        <f t="shared" si="0"/>
        <v>13.187603305785125</v>
      </c>
      <c r="K26"/>
      <c r="L26"/>
      <c r="M26"/>
    </row>
    <row r="27" spans="1:13" s="88" customFormat="1" ht="15.75" thickBot="1">
      <c r="A27" s="648"/>
      <c r="B27" s="654"/>
      <c r="C27" s="178" t="s">
        <v>5</v>
      </c>
      <c r="D27" s="179"/>
      <c r="E27" s="180"/>
      <c r="F27" s="181"/>
      <c r="G27" s="182">
        <f>ROUND(SUM(G22:G26),2)-0.01</f>
        <v>74.839999999999989</v>
      </c>
      <c r="H27" s="4">
        <f>SUM(D22:D26)</f>
        <v>1</v>
      </c>
      <c r="I27" s="279">
        <f t="shared" si="0"/>
        <v>61.851239669421481</v>
      </c>
      <c r="K27"/>
      <c r="L27"/>
      <c r="M27"/>
    </row>
    <row r="28" spans="1:13" s="88" customFormat="1">
      <c r="A28" s="649"/>
      <c r="B28" s="663" t="s">
        <v>130</v>
      </c>
      <c r="C28" s="145" t="str">
        <f>C46</f>
        <v>Tècnic/a especialista productes - Consultor/a especialista</v>
      </c>
      <c r="D28" s="188">
        <v>0.3</v>
      </c>
      <c r="E28" s="189">
        <f>+D46</f>
        <v>89.76</v>
      </c>
      <c r="F28" s="147">
        <f>+ROUND(E28/1.21,2)</f>
        <v>74.180000000000007</v>
      </c>
      <c r="G28" s="192">
        <f>ROUND(E28*D28,4)</f>
        <v>26.928000000000001</v>
      </c>
      <c r="H28" s="4"/>
      <c r="I28" s="260">
        <f t="shared" si="0"/>
        <v>22.254545454545458</v>
      </c>
      <c r="K28"/>
      <c r="L28"/>
      <c r="M28"/>
    </row>
    <row r="29" spans="1:13" s="88" customFormat="1">
      <c r="A29" s="649"/>
      <c r="B29" s="664"/>
      <c r="C29" s="149" t="str">
        <f>C47</f>
        <v>Administrador/a i Tècnic/a de  Sistemes - Consultor júnior</v>
      </c>
      <c r="D29" s="191">
        <v>0.7</v>
      </c>
      <c r="E29" s="190">
        <f>+D47</f>
        <v>59.85</v>
      </c>
      <c r="F29" s="143">
        <f>+ROUND(E29/1.21,2)</f>
        <v>49.46</v>
      </c>
      <c r="G29" s="200">
        <f>ROUND(E29*D29,4)</f>
        <v>41.895000000000003</v>
      </c>
      <c r="H29" s="4"/>
      <c r="I29" s="260">
        <f t="shared" si="0"/>
        <v>34.623966942148762</v>
      </c>
      <c r="K29"/>
      <c r="L29"/>
      <c r="M29"/>
    </row>
    <row r="30" spans="1:13" s="88" customFormat="1" ht="15.75" thickBot="1">
      <c r="A30" s="649"/>
      <c r="B30" s="665"/>
      <c r="C30" s="151" t="s">
        <v>5</v>
      </c>
      <c r="D30" s="152"/>
      <c r="E30" s="159"/>
      <c r="F30" s="160"/>
      <c r="G30" s="161">
        <f>ROUND(SUM(G28:G29),2)</f>
        <v>68.819999999999993</v>
      </c>
      <c r="H30" s="4">
        <f>SUM(D28:D29)</f>
        <v>1</v>
      </c>
      <c r="I30" s="260">
        <f t="shared" si="0"/>
        <v>56.876033057851238</v>
      </c>
      <c r="K30"/>
      <c r="L30"/>
      <c r="M30"/>
    </row>
    <row r="31" spans="1:13" s="88" customFormat="1" ht="15.75" customHeight="1">
      <c r="A31" s="648"/>
      <c r="B31" s="654" t="s">
        <v>75</v>
      </c>
      <c r="C31" s="183" t="str">
        <f>C44</f>
        <v>Cap de projecte - Responsable dels serveis</v>
      </c>
      <c r="D31" s="184">
        <v>1</v>
      </c>
      <c r="E31" s="185">
        <f>D44</f>
        <v>97.24</v>
      </c>
      <c r="F31" s="186">
        <f>+ROUND(E31/1.21,2)</f>
        <v>80.36</v>
      </c>
      <c r="G31" s="187">
        <f>E31*D31</f>
        <v>97.24</v>
      </c>
      <c r="H31" s="4"/>
      <c r="I31" s="260">
        <f t="shared" si="0"/>
        <v>80.36363636363636</v>
      </c>
      <c r="K31"/>
      <c r="L31"/>
      <c r="M31"/>
    </row>
    <row r="32" spans="1:13" s="88" customFormat="1" ht="15.75" thickBot="1">
      <c r="B32" s="655"/>
      <c r="C32" s="151" t="s">
        <v>5</v>
      </c>
      <c r="D32" s="152"/>
      <c r="E32" s="159"/>
      <c r="F32" s="160"/>
      <c r="G32" s="161">
        <f>SUM(G31)</f>
        <v>97.24</v>
      </c>
      <c r="H32" s="4">
        <f>SUM(D31:D31)</f>
        <v>1</v>
      </c>
      <c r="I32" s="279">
        <f t="shared" si="0"/>
        <v>80.36363636363636</v>
      </c>
      <c r="K32"/>
      <c r="L32"/>
      <c r="M32"/>
    </row>
    <row r="33" spans="1:13" s="88" customFormat="1">
      <c r="H33" s="4">
        <f>SUM(H32,H30,H27,H21,H16,H13,H9,H6)</f>
        <v>8</v>
      </c>
      <c r="K33"/>
      <c r="L33"/>
      <c r="M33"/>
    </row>
    <row r="34" spans="1:13" s="259" customFormat="1" ht="15.75" thickBot="1"/>
    <row r="35" spans="1:13" s="88" customFormat="1" ht="45.75" thickBot="1">
      <c r="B35" s="116" t="s">
        <v>0</v>
      </c>
      <c r="C35" s="139" t="s">
        <v>1</v>
      </c>
      <c r="D35" s="139" t="s">
        <v>2</v>
      </c>
      <c r="E35" s="140" t="s">
        <v>3</v>
      </c>
      <c r="F35" s="140" t="s">
        <v>4</v>
      </c>
      <c r="G35" s="141" t="s">
        <v>71</v>
      </c>
      <c r="H35" s="2"/>
      <c r="I35" s="278" t="s">
        <v>176</v>
      </c>
      <c r="K35" s="280" t="s">
        <v>211</v>
      </c>
      <c r="L35" t="s">
        <v>213</v>
      </c>
      <c r="M35" s="494" t="s">
        <v>178</v>
      </c>
    </row>
    <row r="36" spans="1:13" s="88" customFormat="1" ht="15" customHeight="1">
      <c r="A36" s="653" t="s">
        <v>92</v>
      </c>
      <c r="B36" s="650" t="s">
        <v>81</v>
      </c>
      <c r="C36" s="154" t="str">
        <f>C44</f>
        <v>Cap de projecte - Responsable dels serveis</v>
      </c>
      <c r="D36" s="115">
        <v>0.3</v>
      </c>
      <c r="E36" s="169">
        <f>D44</f>
        <v>97.24</v>
      </c>
      <c r="F36" s="170">
        <f>+ROUND(E36/1.21,2)</f>
        <v>80.36</v>
      </c>
      <c r="G36" s="171">
        <f>E36*D36</f>
        <v>29.171999999999997</v>
      </c>
      <c r="H36" s="4"/>
      <c r="I36" s="260">
        <f>G36/1.21</f>
        <v>24.109090909090906</v>
      </c>
      <c r="K36" s="281" t="s">
        <v>180</v>
      </c>
      <c r="L36" s="282">
        <v>0.3</v>
      </c>
      <c r="M36" s="496">
        <v>0.3</v>
      </c>
    </row>
    <row r="37" spans="1:13" s="88" customFormat="1" ht="15" customHeight="1">
      <c r="A37" s="653"/>
      <c r="B37" s="651"/>
      <c r="C37" s="157" t="str">
        <f>C49</f>
        <v>Tècnic/a sistemes júnior - Tecnic testing</v>
      </c>
      <c r="D37" s="114">
        <v>0.7</v>
      </c>
      <c r="E37" s="172">
        <f>D49</f>
        <v>42.45</v>
      </c>
      <c r="F37" s="173">
        <f>+ROUND(E37/1.21,2)</f>
        <v>35.08</v>
      </c>
      <c r="G37" s="174">
        <f>E37*D37</f>
        <v>29.715</v>
      </c>
      <c r="I37" s="260">
        <f>G37/1.21</f>
        <v>24.557851239669422</v>
      </c>
      <c r="K37" s="281" t="s">
        <v>270</v>
      </c>
      <c r="L37" s="282">
        <v>0.7</v>
      </c>
      <c r="M37" s="496">
        <v>0.7</v>
      </c>
    </row>
    <row r="38" spans="1:13" s="88" customFormat="1" ht="15.75" customHeight="1" thickBot="1">
      <c r="A38" s="653"/>
      <c r="B38" s="652"/>
      <c r="C38" s="168" t="s">
        <v>5</v>
      </c>
      <c r="D38" s="138"/>
      <c r="E38" s="175"/>
      <c r="F38" s="176"/>
      <c r="G38" s="177">
        <f>ROUND(SUM(G36:G37),2)-0.01</f>
        <v>58.88</v>
      </c>
      <c r="H38" s="4">
        <f>SUM(D36:D37)</f>
        <v>1</v>
      </c>
      <c r="I38" s="279">
        <f>G38/1.21</f>
        <v>48.66115702479339</v>
      </c>
      <c r="K38" s="281" t="s">
        <v>177</v>
      </c>
      <c r="L38" s="282">
        <v>1</v>
      </c>
      <c r="M38"/>
    </row>
    <row r="39" spans="1:13" s="88" customFormat="1">
      <c r="K39"/>
      <c r="L39"/>
      <c r="M39"/>
    </row>
    <row r="40" spans="1:13" s="88" customFormat="1">
      <c r="F40" s="261"/>
      <c r="K40"/>
      <c r="L40"/>
      <c r="M40"/>
    </row>
    <row r="42" spans="1:13" ht="15.75" thickBot="1"/>
    <row r="43" spans="1:13" ht="30">
      <c r="C43" s="5"/>
      <c r="D43" s="6" t="s">
        <v>209</v>
      </c>
      <c r="E43" s="6" t="s">
        <v>208</v>
      </c>
    </row>
    <row r="44" spans="1:13">
      <c r="C44" s="157" t="s">
        <v>180</v>
      </c>
      <c r="D44" s="597">
        <v>97.24</v>
      </c>
      <c r="E44" s="599">
        <v>80.36</v>
      </c>
    </row>
    <row r="45" spans="1:13">
      <c r="C45" s="600" t="s">
        <v>179</v>
      </c>
      <c r="D45" s="597">
        <v>104.73</v>
      </c>
      <c r="E45" s="599">
        <v>86.55</v>
      </c>
    </row>
    <row r="46" spans="1:13">
      <c r="C46" s="601" t="s">
        <v>267</v>
      </c>
      <c r="D46" s="597">
        <v>89.76</v>
      </c>
      <c r="E46" s="599">
        <v>74.180000000000007</v>
      </c>
    </row>
    <row r="47" spans="1:13">
      <c r="C47" s="602" t="s">
        <v>268</v>
      </c>
      <c r="D47" s="598">
        <v>59.85</v>
      </c>
      <c r="E47" s="599">
        <v>49.46</v>
      </c>
    </row>
    <row r="48" spans="1:13" ht="30">
      <c r="C48" s="603" t="s">
        <v>269</v>
      </c>
      <c r="D48" s="596">
        <v>69.150000000000006</v>
      </c>
      <c r="E48" s="604">
        <v>57.15</v>
      </c>
      <c r="F48" s="88"/>
    </row>
    <row r="49" spans="3:5">
      <c r="C49" s="157" t="s">
        <v>270</v>
      </c>
      <c r="D49" s="597">
        <v>42.45</v>
      </c>
      <c r="E49" s="599">
        <v>35.08</v>
      </c>
    </row>
    <row r="50" spans="3:5" ht="15.75" thickBot="1">
      <c r="C50" s="605" t="s">
        <v>266</v>
      </c>
      <c r="D50" s="606">
        <v>53.19</v>
      </c>
      <c r="E50" s="607">
        <v>43.96</v>
      </c>
    </row>
  </sheetData>
  <mergeCells count="11">
    <mergeCell ref="A3:A31"/>
    <mergeCell ref="B36:B38"/>
    <mergeCell ref="A36:A38"/>
    <mergeCell ref="B31:B32"/>
    <mergeCell ref="B22:B27"/>
    <mergeCell ref="B3:B6"/>
    <mergeCell ref="B10:B13"/>
    <mergeCell ref="B7:B9"/>
    <mergeCell ref="B17:B21"/>
    <mergeCell ref="B28:B30"/>
    <mergeCell ref="B14:B16"/>
  </mergeCells>
  <pageMargins left="0.7" right="0.7" top="0.75" bottom="0.75" header="0.3" footer="0.3"/>
  <pageSetup paperSize="9" orientation="portrait" r:id="rId3"/>
  <ignoredErrors>
    <ignoredError sqref="E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"/>
  <sheetViews>
    <sheetView topLeftCell="A7" zoomScale="80" zoomScaleNormal="80" workbookViewId="0">
      <selection activeCell="K47" sqref="K47"/>
    </sheetView>
  </sheetViews>
  <sheetFormatPr defaultRowHeight="15"/>
  <cols>
    <col min="1" max="1" width="37" bestFit="1" customWidth="1"/>
    <col min="2" max="2" width="16" customWidth="1"/>
    <col min="3" max="3" width="18.5703125" customWidth="1"/>
    <col min="4" max="4" width="24.42578125" bestFit="1" customWidth="1"/>
    <col min="5" max="5" width="15.28515625" bestFit="1" customWidth="1"/>
    <col min="6" max="6" width="19.140625" bestFit="1" customWidth="1"/>
    <col min="7" max="7" width="16.140625" bestFit="1" customWidth="1"/>
    <col min="8" max="8" width="20.28515625" customWidth="1"/>
    <col min="9" max="9" width="15.28515625" customWidth="1"/>
    <col min="10" max="10" width="15.140625" bestFit="1" customWidth="1"/>
    <col min="11" max="11" width="14.28515625" customWidth="1"/>
    <col min="12" max="12" width="15" customWidth="1"/>
    <col min="13" max="13" width="15.5703125" customWidth="1"/>
    <col min="14" max="14" width="15.140625" bestFit="1" customWidth="1"/>
    <col min="15" max="15" width="37.28515625" customWidth="1"/>
    <col min="16" max="16" width="13.140625" bestFit="1" customWidth="1"/>
    <col min="17" max="17" width="8.5703125" bestFit="1" customWidth="1"/>
    <col min="18" max="18" width="13.7109375" bestFit="1" customWidth="1"/>
    <col min="19" max="19" width="8.42578125" bestFit="1" customWidth="1"/>
    <col min="20" max="20" width="12.85546875" bestFit="1" customWidth="1"/>
  </cols>
  <sheetData>
    <row r="1" spans="1:15" ht="15.75">
      <c r="A1" s="125" t="s">
        <v>80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5">
      <c r="A2" s="61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75" thickBo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ht="15.75" thickBot="1">
      <c r="A4" s="302"/>
      <c r="B4" s="60"/>
      <c r="C4" s="680">
        <v>2023</v>
      </c>
      <c r="D4" s="681"/>
      <c r="E4" s="682"/>
      <c r="F4" s="680">
        <v>2024</v>
      </c>
      <c r="G4" s="681"/>
      <c r="H4" s="682"/>
      <c r="I4" s="680">
        <v>2025</v>
      </c>
      <c r="J4" s="681"/>
      <c r="K4" s="682"/>
      <c r="L4" s="302"/>
    </row>
    <row r="5" spans="1:15" ht="26.25" thickBot="1">
      <c r="A5" s="348" t="s">
        <v>52</v>
      </c>
      <c r="B5" s="341" t="s">
        <v>191</v>
      </c>
      <c r="C5" s="203" t="s">
        <v>140</v>
      </c>
      <c r="D5" s="342" t="s">
        <v>141</v>
      </c>
      <c r="E5" s="343" t="s">
        <v>142</v>
      </c>
      <c r="F5" s="203" t="s">
        <v>143</v>
      </c>
      <c r="G5" s="342" t="s">
        <v>144</v>
      </c>
      <c r="H5" s="343" t="s">
        <v>145</v>
      </c>
      <c r="I5" s="203" t="s">
        <v>147</v>
      </c>
      <c r="J5" s="342" t="s">
        <v>148</v>
      </c>
      <c r="K5" s="343" t="s">
        <v>146</v>
      </c>
      <c r="L5" s="367" t="s">
        <v>51</v>
      </c>
      <c r="M5" s="344" t="s">
        <v>50</v>
      </c>
      <c r="N5" s="345" t="s">
        <v>49</v>
      </c>
      <c r="O5" s="43"/>
    </row>
    <row r="6" spans="1:15" ht="60">
      <c r="A6" s="683" t="s">
        <v>185</v>
      </c>
      <c r="B6" s="357" t="s">
        <v>156</v>
      </c>
      <c r="C6" s="363">
        <f>CalculPressup[[#This Row],[import 2023
IVA exc]]</f>
        <v>38478.082191780821</v>
      </c>
      <c r="D6" s="349">
        <f>ROUND(C6*0.21,2)</f>
        <v>8080.4</v>
      </c>
      <c r="E6" s="350">
        <f>+C6+D6</f>
        <v>46558.482191780822</v>
      </c>
      <c r="F6" s="363">
        <f>CalculPressup[[#This Row],[import 2024
IVA exc]]</f>
        <v>156050</v>
      </c>
      <c r="G6" s="349">
        <f t="shared" ref="G6:G11" si="0">ROUND(F6*0.21,2)</f>
        <v>32770.5</v>
      </c>
      <c r="H6" s="350">
        <f t="shared" ref="H6:H15" si="1">+F6+G6</f>
        <v>188820.5</v>
      </c>
      <c r="I6" s="373">
        <f>'Càlcul pressupost '!O6</f>
        <v>117571.91780821918</v>
      </c>
      <c r="J6" s="349">
        <f>ROUND(I6*0.21,2)</f>
        <v>24690.1</v>
      </c>
      <c r="K6" s="350">
        <f>TServeiLot1[[#This Row],[Import net
2025]]+TServeiLot1[[#This Row],[IVA 21%
2025]]</f>
        <v>142262.01780821919</v>
      </c>
      <c r="L6" s="368">
        <f>TServeiLot1[[#This Row],[Import net
2023]]+TServeiLot1[[#This Row],[Import net
2024]]+TServeiLot1[[#This Row],[Import net
2025]]</f>
        <v>312100</v>
      </c>
      <c r="M6" s="349">
        <f>TServeiLot1[[#This Row],[IVA 21%
2023]]+TServeiLot1[[#This Row],[IVA 21%
2024]]+TServeiLot1[[#This Row],[IVA 21%
2025]]</f>
        <v>65541</v>
      </c>
      <c r="N6" s="350">
        <f>TServeiLot1[[#This Row],[Total import net]]+TServeiLot1[[#This Row],[Total IVA 21%]]</f>
        <v>377641</v>
      </c>
      <c r="O6" s="43"/>
    </row>
    <row r="7" spans="1:15" ht="30">
      <c r="A7" s="684"/>
      <c r="B7" s="358" t="s">
        <v>88</v>
      </c>
      <c r="C7" s="364">
        <f>CalculPressup[[#This Row],[import 2023
IVA exc]]</f>
        <v>61643.835616438351</v>
      </c>
      <c r="D7" s="59">
        <f>ROUND(C7*0.21,2)-0.01</f>
        <v>12945.199999999999</v>
      </c>
      <c r="E7" s="206">
        <f>+C7+D7</f>
        <v>74589.035616438356</v>
      </c>
      <c r="F7" s="364">
        <f>CalculPressup[[#This Row],[import 2024
IVA exc]]</f>
        <v>188356.16438356164</v>
      </c>
      <c r="G7" s="59">
        <f t="shared" si="0"/>
        <v>39554.79</v>
      </c>
      <c r="H7" s="206">
        <f>+F7+G7</f>
        <v>227910.95438356165</v>
      </c>
      <c r="I7" s="207">
        <f>'Càlcul pressupost '!O7</f>
        <v>0</v>
      </c>
      <c r="J7" s="59">
        <f>ROUND(I7*0.21,2)</f>
        <v>0</v>
      </c>
      <c r="K7" s="206">
        <f>TServeiLot1[[#This Row],[Import net
2025]]+TServeiLot1[[#This Row],[IVA 21%
2025]]</f>
        <v>0</v>
      </c>
      <c r="L7" s="369">
        <f>TServeiLot1[[#This Row],[Import net
2023]]+TServeiLot1[[#This Row],[Import net
2024]]+TServeiLot1[[#This Row],[Import net
2025]]</f>
        <v>250000</v>
      </c>
      <c r="M7" s="59">
        <f>TServeiLot1[[#This Row],[IVA 21%
2023]]+TServeiLot1[[#This Row],[IVA 21%
2024]]+TServeiLot1[[#This Row],[IVA 21%
2025]]-0.01</f>
        <v>52499.979999999996</v>
      </c>
      <c r="N7" s="206">
        <f>TServeiLot1[[#This Row],[Total import net]]+TServeiLot1[[#This Row],[Total IVA 21%]]</f>
        <v>302499.98</v>
      </c>
      <c r="O7" s="43"/>
    </row>
    <row r="8" spans="1:15" s="88" customFormat="1" ht="45.75" thickBot="1">
      <c r="A8" s="685"/>
      <c r="B8" s="359" t="s">
        <v>157</v>
      </c>
      <c r="C8" s="365">
        <f>CalculPressup[[#This Row],[import 2023
IVA exc]]</f>
        <v>12328.767123287671</v>
      </c>
      <c r="D8" s="351">
        <f>ROUND(C8*0.21,2)</f>
        <v>2589.04</v>
      </c>
      <c r="E8" s="352">
        <f>+C8+D8</f>
        <v>14917.807123287672</v>
      </c>
      <c r="F8" s="365">
        <f>CalculPressup[[#This Row],[import 2024
IVA exc]]</f>
        <v>50000</v>
      </c>
      <c r="G8" s="351">
        <f>ROUND(F8*0.21,2)</f>
        <v>10500</v>
      </c>
      <c r="H8" s="352">
        <f t="shared" si="1"/>
        <v>60500</v>
      </c>
      <c r="I8" s="374">
        <f>'Càlcul pressupost '!O8</f>
        <v>37671.232876712325</v>
      </c>
      <c r="J8" s="351">
        <f>ROUND(I8*0.21,2)</f>
        <v>7910.96</v>
      </c>
      <c r="K8" s="352">
        <f>TServeiLot1[[#This Row],[Import net
2025]]+TServeiLot1[[#This Row],[IVA 21%
2025]]</f>
        <v>45582.192876712325</v>
      </c>
      <c r="L8" s="370">
        <f>TServeiLot1[[#This Row],[Import net
2023]]+TServeiLot1[[#This Row],[Import net
2024]]+TServeiLot1[[#This Row],[Import net
2025]]</f>
        <v>100000</v>
      </c>
      <c r="M8" s="351">
        <f>TServeiLot1[[#This Row],[IVA 21%
2023]]+TServeiLot1[[#This Row],[IVA 21%
2024]]+TServeiLot1[[#This Row],[IVA 21%
2025]]</f>
        <v>21000</v>
      </c>
      <c r="N8" s="352">
        <f>TServeiLot1[[#This Row],[Total import net]]+TServeiLot1[[#This Row],[Total IVA 21%]]</f>
        <v>121000</v>
      </c>
      <c r="O8" s="229"/>
    </row>
    <row r="9" spans="1:15" ht="30">
      <c r="A9" s="683" t="s">
        <v>182</v>
      </c>
      <c r="B9" s="360" t="s">
        <v>86</v>
      </c>
      <c r="C9" s="363">
        <f>'Càlcul pressupost '!M10</f>
        <v>12328.767123287671</v>
      </c>
      <c r="D9" s="349">
        <f>ROUND(C9*0.21,2)</f>
        <v>2589.04</v>
      </c>
      <c r="E9" s="350">
        <f t="shared" ref="E9:E15" si="2">+C9+D9</f>
        <v>14917.807123287672</v>
      </c>
      <c r="F9" s="363">
        <f>'Càlcul pressupost '!N10</f>
        <v>62328.767123287667</v>
      </c>
      <c r="G9" s="349">
        <f t="shared" si="0"/>
        <v>13089.04</v>
      </c>
      <c r="H9" s="350">
        <f t="shared" si="1"/>
        <v>75417.807123287668</v>
      </c>
      <c r="I9" s="373">
        <f>'Càlcul pressupost '!O10</f>
        <v>75342.464753424661</v>
      </c>
      <c r="J9" s="349">
        <f>ROUND(I9*0.21,2)</f>
        <v>15821.92</v>
      </c>
      <c r="K9" s="350">
        <f>TServeiLot1[[#This Row],[Import net
2025]]+TServeiLot1[[#This Row],[IVA 21%
2025]]</f>
        <v>91164.38475342466</v>
      </c>
      <c r="L9" s="368">
        <f>TServeiLot1[[#This Row],[Import net
2023]]+TServeiLot1[[#This Row],[Import net
2024]]+TServeiLot1[[#This Row],[Import net
2025]]</f>
        <v>149999.99900000001</v>
      </c>
      <c r="M9" s="349">
        <f>TServeiLot1[[#This Row],[IVA 21%
2023]]+TServeiLot1[[#This Row],[IVA 21%
2024]]+TServeiLot1[[#This Row],[IVA 21%
2025]]</f>
        <v>31500</v>
      </c>
      <c r="N9" s="350">
        <f>TServeiLot1[[#This Row],[Total import net]]+TServeiLot1[[#This Row],[Total IVA 21%]]</f>
        <v>181499.99900000001</v>
      </c>
      <c r="O9" s="43"/>
    </row>
    <row r="10" spans="1:15" ht="30.75" thickBot="1">
      <c r="A10" s="685"/>
      <c r="B10" s="359" t="s">
        <v>87</v>
      </c>
      <c r="C10" s="365">
        <f>'Càlcul pressupost '!M11</f>
        <v>0</v>
      </c>
      <c r="D10" s="351">
        <f>ROUND(C10*0.21,2)</f>
        <v>0</v>
      </c>
      <c r="E10" s="352">
        <f t="shared" si="2"/>
        <v>0</v>
      </c>
      <c r="F10" s="365">
        <f>'Càlcul pressupost '!N11</f>
        <v>36986.301369863009</v>
      </c>
      <c r="G10" s="351">
        <f t="shared" si="0"/>
        <v>7767.12</v>
      </c>
      <c r="H10" s="352">
        <f t="shared" si="1"/>
        <v>44753.421369863012</v>
      </c>
      <c r="I10" s="374">
        <f>'Càlcul pressupost '!O11</f>
        <v>113013.69863013699</v>
      </c>
      <c r="J10" s="351">
        <f>ROUND(I10*0.21,2)</f>
        <v>23732.880000000001</v>
      </c>
      <c r="K10" s="352">
        <f>TServeiLot1[[#This Row],[Import net
2025]]+TServeiLot1[[#This Row],[IVA 21%
2025]]</f>
        <v>136746.578630137</v>
      </c>
      <c r="L10" s="370">
        <f>TServeiLot1[[#This Row],[Import net
2023]]+TServeiLot1[[#This Row],[Import net
2024]]+TServeiLot1[[#This Row],[Import net
2025]]</f>
        <v>150000</v>
      </c>
      <c r="M10" s="351">
        <f>TServeiLot1[[#This Row],[IVA 21%
2023]]+TServeiLot1[[#This Row],[IVA 21%
2024]]+TServeiLot1[[#This Row],[IVA 21%
2025]]</f>
        <v>31500</v>
      </c>
      <c r="N10" s="352">
        <f>TServeiLot1[[#This Row],[Total import net]]+TServeiLot1[[#This Row],[Total IVA 21%]]</f>
        <v>181500</v>
      </c>
      <c r="O10" s="43"/>
    </row>
    <row r="11" spans="1:15" ht="15.75" customHeight="1" thickBot="1">
      <c r="A11" s="353" t="s">
        <v>77</v>
      </c>
      <c r="B11" s="361" t="s">
        <v>77</v>
      </c>
      <c r="C11" s="366">
        <f>'Càlcul pressupost '!M13</f>
        <v>94931.506849315076</v>
      </c>
      <c r="D11" s="354">
        <f>ROUND(C11*0.21,2)-0.01</f>
        <v>19935.61</v>
      </c>
      <c r="E11" s="355">
        <f>+C11+D11</f>
        <v>114867.11684931508</v>
      </c>
      <c r="F11" s="366">
        <f>'Càlcul pressupost '!N13</f>
        <v>385000</v>
      </c>
      <c r="G11" s="354">
        <f t="shared" si="0"/>
        <v>80850</v>
      </c>
      <c r="H11" s="355">
        <f t="shared" si="1"/>
        <v>465850</v>
      </c>
      <c r="I11" s="375">
        <f>'Càlcul pressupost '!O13</f>
        <v>290068.49315068492</v>
      </c>
      <c r="J11" s="354">
        <f t="shared" ref="J11" si="3">ROUND(I11*0.21,2)+0.01</f>
        <v>60914.39</v>
      </c>
      <c r="K11" s="355">
        <f>TServeiLot1[[#This Row],[Import net
2025]]+TServeiLot1[[#This Row],[IVA 21%
2025]]</f>
        <v>350982.88315068494</v>
      </c>
      <c r="L11" s="371">
        <f>TServeiLot1[[#This Row],[Import net
2023]]+TServeiLot1[[#This Row],[Import net
2024]]+TServeiLot1[[#This Row],[Import net
2025]]</f>
        <v>770000</v>
      </c>
      <c r="M11" s="354">
        <f>TServeiLot1[[#This Row],[IVA 21%
2023]]+TServeiLot1[[#This Row],[IVA 21%
2024]]+TServeiLot1[[#This Row],[IVA 21%
2025]]</f>
        <v>161700</v>
      </c>
      <c r="N11" s="355">
        <f>TServeiLot1[[#This Row],[Total import net]]+TServeiLot1[[#This Row],[Total IVA 21%]]</f>
        <v>931700</v>
      </c>
      <c r="O11" s="43"/>
    </row>
    <row r="12" spans="1:15" ht="30">
      <c r="A12" s="683" t="s">
        <v>192</v>
      </c>
      <c r="B12" s="357" t="s">
        <v>79</v>
      </c>
      <c r="C12" s="363">
        <f>'Càlcul pressupost '!M15</f>
        <v>110958.90410958904</v>
      </c>
      <c r="D12" s="349">
        <f>ROUND(C12*0.21,2)</f>
        <v>23301.37</v>
      </c>
      <c r="E12" s="350">
        <f t="shared" si="2"/>
        <v>134260.27410958905</v>
      </c>
      <c r="F12" s="363">
        <f>'Càlcul pressupost '!N15</f>
        <v>339041.09589041094</v>
      </c>
      <c r="G12" s="349">
        <f>ROUND(F12*0.21,2)</f>
        <v>71198.63</v>
      </c>
      <c r="H12" s="350">
        <f t="shared" si="1"/>
        <v>410239.72589041095</v>
      </c>
      <c r="I12" s="373">
        <f>'Càlcul pressupost '!O15</f>
        <v>0</v>
      </c>
      <c r="J12" s="349">
        <f>ROUND(I12*0.21,2)</f>
        <v>0</v>
      </c>
      <c r="K12" s="350">
        <f>TServeiLot1[[#This Row],[Import net
2025]]+TServeiLot1[[#This Row],[IVA 21%
2025]]</f>
        <v>0</v>
      </c>
      <c r="L12" s="368">
        <f>TServeiLot1[[#This Row],[Import net
2023]]+TServeiLot1[[#This Row],[Import net
2024]]+TServeiLot1[[#This Row],[Import net
2025]]</f>
        <v>450000</v>
      </c>
      <c r="M12" s="349">
        <f>TServeiLot1[[#This Row],[IVA 21%
2023]]+TServeiLot1[[#This Row],[IVA 21%
2024]]+TServeiLot1[[#This Row],[IVA 21%
2025]]</f>
        <v>94500</v>
      </c>
      <c r="N12" s="350">
        <f>TServeiLot1[[#This Row],[Total import net]]+TServeiLot1[[#This Row],[Total IVA 21%]]</f>
        <v>544500</v>
      </c>
      <c r="O12" s="43"/>
    </row>
    <row r="13" spans="1:15" ht="30.75" thickBot="1">
      <c r="A13" s="685"/>
      <c r="B13" s="362" t="s">
        <v>74</v>
      </c>
      <c r="C13" s="365">
        <f>'Càlcul pressupost '!M16</f>
        <v>43150.684931506854</v>
      </c>
      <c r="D13" s="351">
        <f>ROUND(C13*0.21,2)+0.01</f>
        <v>9061.65</v>
      </c>
      <c r="E13" s="352">
        <f t="shared" si="2"/>
        <v>52212.334931506855</v>
      </c>
      <c r="F13" s="365">
        <f>'Càlcul pressupost '!N16</f>
        <v>199657.53524657531</v>
      </c>
      <c r="G13" s="351">
        <f>ROUND(F13*0.21,2)</f>
        <v>41928.080000000002</v>
      </c>
      <c r="H13" s="352">
        <f t="shared" si="1"/>
        <v>241585.61524657533</v>
      </c>
      <c r="I13" s="374">
        <f>'Càlcul pressupost '!O16</f>
        <v>207191.77982191782</v>
      </c>
      <c r="J13" s="351">
        <f>ROUND(I13*0.21,2)</f>
        <v>43510.27</v>
      </c>
      <c r="K13" s="352">
        <f>TServeiLot1[[#This Row],[Import net
2025]]+TServeiLot1[[#This Row],[IVA 21%
2025]]</f>
        <v>250702.04982191781</v>
      </c>
      <c r="L13" s="370">
        <f>TServeiLot1[[#This Row],[Import net
2023]]+TServeiLot1[[#This Row],[Import net
2024]]+TServeiLot1[[#This Row],[Import net
2025]]</f>
        <v>450000</v>
      </c>
      <c r="M13" s="351">
        <f>TServeiLot1[[#This Row],[IVA 21%
2023]]+TServeiLot1[[#This Row],[IVA 21%
2024]]+TServeiLot1[[#This Row],[IVA 21%
2025]]</f>
        <v>94500</v>
      </c>
      <c r="N13" s="352">
        <f>TServeiLot1[[#This Row],[Total import net]]+TServeiLot1[[#This Row],[Total IVA 21%]]</f>
        <v>544500</v>
      </c>
      <c r="O13" s="43"/>
    </row>
    <row r="14" spans="1:15">
      <c r="A14" s="683" t="s">
        <v>184</v>
      </c>
      <c r="B14" s="360" t="s">
        <v>75</v>
      </c>
      <c r="C14" s="363">
        <f>'Càlcul pressupost '!M18</f>
        <v>24657.534246575342</v>
      </c>
      <c r="D14" s="349">
        <f>ROUND(C14*0.21,2)+0.01</f>
        <v>5178.09</v>
      </c>
      <c r="E14" s="350">
        <f t="shared" si="2"/>
        <v>29835.624246575342</v>
      </c>
      <c r="F14" s="363">
        <f>'Càlcul pressupost '!N18</f>
        <v>100000</v>
      </c>
      <c r="G14" s="349">
        <f>ROUND(F14*0.21,2)</f>
        <v>21000</v>
      </c>
      <c r="H14" s="350">
        <f t="shared" si="1"/>
        <v>121000</v>
      </c>
      <c r="I14" s="373">
        <f>'Càlcul pressupost '!O18</f>
        <v>75342.465753424651</v>
      </c>
      <c r="J14" s="349">
        <f>ROUND(I14*0.21,2)-0.001</f>
        <v>15821.919</v>
      </c>
      <c r="K14" s="350">
        <f>TServeiLot1[[#This Row],[Import net
2025]]+TServeiLot1[[#This Row],[IVA 21%
2025]]</f>
        <v>91164.384753424645</v>
      </c>
      <c r="L14" s="368">
        <f>TServeiLot1[[#This Row],[Import net
2023]]+TServeiLot1[[#This Row],[Import net
2024]]+TServeiLot1[[#This Row],[Import net
2025]]</f>
        <v>200000</v>
      </c>
      <c r="M14" s="349">
        <f>TServeiLot1[[#This Row],[IVA 21%
2023]]+TServeiLot1[[#This Row],[IVA 21%
2024]]+TServeiLot1[[#This Row],[IVA 21%
2025]]-0.01</f>
        <v>41999.998999999996</v>
      </c>
      <c r="N14" s="350">
        <f>TServeiLot1[[#This Row],[Total import net]]+TServeiLot1[[#This Row],[Total IVA 21%]]</f>
        <v>241999.99900000001</v>
      </c>
      <c r="O14" s="43"/>
    </row>
    <row r="15" spans="1:15" s="88" customFormat="1" ht="15.75" thickBot="1">
      <c r="A15" s="685"/>
      <c r="B15" s="362" t="s">
        <v>129</v>
      </c>
      <c r="C15" s="365">
        <f>'Càlcul pressupost '!M19</f>
        <v>0</v>
      </c>
      <c r="D15" s="351">
        <f t="shared" ref="D15" si="4">ROUND(C15*0.21,2)</f>
        <v>0</v>
      </c>
      <c r="E15" s="352">
        <f t="shared" si="2"/>
        <v>0</v>
      </c>
      <c r="F15" s="365">
        <f>'Càlcul pressupost '!N19</f>
        <v>0</v>
      </c>
      <c r="G15" s="351">
        <f>ROUND(F15*0.21,2)</f>
        <v>0</v>
      </c>
      <c r="H15" s="352">
        <f t="shared" si="1"/>
        <v>0</v>
      </c>
      <c r="I15" s="376">
        <f>'Càlcul pressupost '!O19</f>
        <v>24999.999979166667</v>
      </c>
      <c r="J15" s="356">
        <f>ROUND(I15*0.21,2)</f>
        <v>5250</v>
      </c>
      <c r="K15" s="377">
        <f>TServeiLot1[[#This Row],[Import net
2025]]+TServeiLot1[[#This Row],[IVA 21%
2025]]</f>
        <v>30249.999979166667</v>
      </c>
      <c r="L15" s="370">
        <f>TServeiLot1[[#This Row],[Import net
2023]]+TServeiLot1[[#This Row],[Import net
2024]]+TServeiLot1[[#This Row],[Import net
2025]]</f>
        <v>24999.999979166667</v>
      </c>
      <c r="M15" s="351">
        <f>TServeiLot1[[#This Row],[IVA 21%
2023]]+TServeiLot1[[#This Row],[IVA 21%
2024]]+TServeiLot1[[#This Row],[IVA 21%
2025]]</f>
        <v>5250</v>
      </c>
      <c r="N15" s="352">
        <f>TServeiLot1[[#This Row],[Total import net]]+TServeiLot1[[#This Row],[Total IVA 21%]]</f>
        <v>30249.999979166667</v>
      </c>
      <c r="O15" s="43"/>
    </row>
    <row r="16" spans="1:15" ht="15.75" thickBot="1">
      <c r="A16" s="302"/>
      <c r="B16" s="248"/>
      <c r="C16" s="346">
        <f>SUBTOTAL(109,TServeiLot1[Import net
2023])</f>
        <v>398478.08219178085</v>
      </c>
      <c r="D16" s="346">
        <f>SUBTOTAL(109,TServeiLot1[IVA 21%
2023])</f>
        <v>83680.399999999994</v>
      </c>
      <c r="E16" s="346">
        <f>SUBTOTAL(109,TServeiLot1[Import total
2023])</f>
        <v>482158.48219178081</v>
      </c>
      <c r="F16" s="346">
        <f>SUBTOTAL(109,TServeiLot1[Import net
2024])+0.001</f>
        <v>1517419.8650136983</v>
      </c>
      <c r="G16" s="346">
        <f>SUBTOTAL(109,TServeiLot1[IVA 21%
2024])</f>
        <v>318658.16000000003</v>
      </c>
      <c r="H16" s="346">
        <f>SUBTOTAL(109,TServeiLot1[Import total
2024])+0.001</f>
        <v>1836078.0250136985</v>
      </c>
      <c r="I16" s="346">
        <f>SUBTOTAL(109,TServeiLot1[Import net
2025])</f>
        <v>941202.05277368717</v>
      </c>
      <c r="J16" s="346">
        <f>SUBTOTAL(109,TServeiLot1[IVA 21%
2025])</f>
        <v>197652.43899999998</v>
      </c>
      <c r="K16" s="347">
        <f>SUBTOTAL(109,TServeiLot1[Import total
2025])-0.01</f>
        <v>1138854.4817736873</v>
      </c>
      <c r="L16" s="372">
        <f>SUBTOTAL(109,TServeiLot1[Total import net])</f>
        <v>2857099.9989791666</v>
      </c>
      <c r="M16" s="249">
        <f>SUBTOTAL(109,TServeiLot1[Total IVA 21%])+0.02</f>
        <v>599990.99899999995</v>
      </c>
      <c r="N16" s="209">
        <f>SUBTOTAL(109,TServeiLot1[Total import contracte])+0.02</f>
        <v>3457090.9979791669</v>
      </c>
    </row>
    <row r="17" spans="1:14">
      <c r="A17" s="302"/>
      <c r="C17" s="507"/>
      <c r="D17" s="507"/>
      <c r="E17" s="507"/>
      <c r="F17" s="507"/>
      <c r="G17" s="507"/>
      <c r="H17" s="507"/>
      <c r="I17" s="507" t="s">
        <v>219</v>
      </c>
      <c r="J17" s="507"/>
      <c r="K17" s="507" t="s">
        <v>219</v>
      </c>
    </row>
    <row r="19" spans="1:14" ht="16.5" thickBot="1">
      <c r="A19" s="125" t="s">
        <v>92</v>
      </c>
    </row>
    <row r="20" spans="1:14" ht="15.75" thickBot="1">
      <c r="A20" s="60"/>
      <c r="B20" s="60"/>
      <c r="C20" s="558">
        <v>2023</v>
      </c>
      <c r="D20" s="559"/>
      <c r="E20" s="560"/>
      <c r="F20" s="675">
        <v>2024</v>
      </c>
      <c r="G20" s="676"/>
      <c r="H20" s="677"/>
      <c r="I20" s="675">
        <v>2025</v>
      </c>
      <c r="J20" s="676"/>
      <c r="K20" s="677"/>
      <c r="L20" s="229"/>
      <c r="M20" s="302"/>
      <c r="N20" s="302"/>
    </row>
    <row r="21" spans="1:14" ht="26.25" thickBot="1">
      <c r="A21" s="202" t="s">
        <v>52</v>
      </c>
      <c r="B21" s="341" t="s">
        <v>191</v>
      </c>
      <c r="C21" s="203" t="s">
        <v>140</v>
      </c>
      <c r="D21" s="201" t="s">
        <v>141</v>
      </c>
      <c r="E21" s="204" t="s">
        <v>142</v>
      </c>
      <c r="F21" s="203" t="s">
        <v>143</v>
      </c>
      <c r="G21" s="201" t="s">
        <v>144</v>
      </c>
      <c r="H21" s="204" t="s">
        <v>145</v>
      </c>
      <c r="I21" s="203" t="s">
        <v>147</v>
      </c>
      <c r="J21" s="201" t="s">
        <v>148</v>
      </c>
      <c r="K21" s="204" t="s">
        <v>146</v>
      </c>
      <c r="L21" s="214" t="s">
        <v>51</v>
      </c>
      <c r="M21" s="215" t="s">
        <v>50</v>
      </c>
      <c r="N21" s="216" t="s">
        <v>49</v>
      </c>
    </row>
    <row r="22" spans="1:14" ht="15.75" thickBot="1">
      <c r="A22" s="126" t="s">
        <v>81</v>
      </c>
      <c r="B22" s="512" t="s">
        <v>81</v>
      </c>
      <c r="C22" s="205">
        <f>Taula1[import 2023
IVA exc]</f>
        <v>66575.34246575342</v>
      </c>
      <c r="D22" s="123">
        <f>ROUND(C22*0.21,2)</f>
        <v>13980.82</v>
      </c>
      <c r="E22" s="206">
        <f>+C22+D22</f>
        <v>80556.162465753412</v>
      </c>
      <c r="F22" s="205">
        <f>Taula1[import 2024
IVA exc]</f>
        <v>270000</v>
      </c>
      <c r="G22" s="123">
        <f>ROUND(F22*0.21,2)</f>
        <v>56700</v>
      </c>
      <c r="H22" s="206">
        <f>+F22+G22</f>
        <v>326700</v>
      </c>
      <c r="I22" s="207">
        <f>Taula1[import 2025
IVA exc]</f>
        <v>203424.65753424657</v>
      </c>
      <c r="J22" s="59">
        <f>ROUND(I22*0.21,2)</f>
        <v>42719.18</v>
      </c>
      <c r="K22" s="210">
        <f>I22+J22</f>
        <v>246143.83753424656</v>
      </c>
      <c r="L22" s="208">
        <f>C22+F22+I22</f>
        <v>540000</v>
      </c>
      <c r="M22" s="59">
        <f>D22+G22+J22</f>
        <v>113400</v>
      </c>
      <c r="N22" s="124">
        <f>E22+H22+K22</f>
        <v>653400</v>
      </c>
    </row>
    <row r="23" spans="1:14" ht="15.75" thickBot="1">
      <c r="B23" s="362" t="s">
        <v>129</v>
      </c>
      <c r="C23" s="552">
        <v>0</v>
      </c>
      <c r="D23" s="552">
        <v>0</v>
      </c>
      <c r="E23" s="552">
        <f>Taula1[[#Totals],[import 2023
IVA inc]]</f>
        <v>0</v>
      </c>
      <c r="F23" s="552">
        <v>0</v>
      </c>
      <c r="G23" s="552">
        <v>0</v>
      </c>
      <c r="H23" s="552">
        <f>Taula1[[#Totals],[import 2024
IVA inc]]</f>
        <v>0</v>
      </c>
      <c r="I23" s="552">
        <f>Taula1[[#Totals],[import 2025
IVA exc]]</f>
        <v>11250</v>
      </c>
      <c r="J23" s="552">
        <f>I23*0.21</f>
        <v>2362.5</v>
      </c>
      <c r="K23" s="552">
        <f>Taula1[[#Totals],[import 2025
IVA inc]]</f>
        <v>13612.5</v>
      </c>
      <c r="L23" s="552">
        <f>I23</f>
        <v>11250</v>
      </c>
      <c r="M23" s="552">
        <f>L23*0.21</f>
        <v>2362.5</v>
      </c>
      <c r="N23" s="552">
        <f>L23+M23</f>
        <v>13612.5</v>
      </c>
    </row>
    <row r="24" spans="1:14" ht="15.75" thickTop="1">
      <c r="B24" s="617" t="s">
        <v>253</v>
      </c>
      <c r="C24" s="617">
        <f>SUM(C22:C23)</f>
        <v>66575.34246575342</v>
      </c>
      <c r="D24" s="617">
        <f>SUM(D22:D23)</f>
        <v>13980.82</v>
      </c>
      <c r="E24" s="617">
        <f>SUM(E22:E23)</f>
        <v>80556.162465753412</v>
      </c>
      <c r="F24" s="617">
        <f t="shared" ref="F24:H24" si="5">SUM(F22:F23)</f>
        <v>270000</v>
      </c>
      <c r="G24" s="617">
        <f t="shared" si="5"/>
        <v>56700</v>
      </c>
      <c r="H24" s="617">
        <f t="shared" si="5"/>
        <v>326700</v>
      </c>
      <c r="I24" s="617">
        <f>SUM(I22:I23)</f>
        <v>214674.65753424657</v>
      </c>
      <c r="J24" s="617">
        <f t="shared" ref="J24:K24" si="6">SUM(J22:J23)</f>
        <v>45081.68</v>
      </c>
      <c r="K24" s="617">
        <f t="shared" si="6"/>
        <v>259756.33753424656</v>
      </c>
      <c r="L24" s="617">
        <f>SUM(L22:L23)</f>
        <v>551250</v>
      </c>
      <c r="M24" s="617">
        <f t="shared" ref="M24:N24" si="7">SUM(M22:M23)</f>
        <v>115762.5</v>
      </c>
      <c r="N24" s="617">
        <f t="shared" si="7"/>
        <v>667012.5</v>
      </c>
    </row>
    <row r="25" spans="1:14" ht="15.75" thickBot="1">
      <c r="A25" s="48" t="s">
        <v>48</v>
      </c>
      <c r="B25" s="43"/>
      <c r="C25" s="43"/>
      <c r="D25" s="43"/>
      <c r="E25" s="43"/>
    </row>
    <row r="26" spans="1:14">
      <c r="A26" s="48"/>
      <c r="B26" s="43"/>
      <c r="C26" s="43"/>
      <c r="D26" s="43"/>
      <c r="E26" s="43"/>
      <c r="H26" s="678" t="s">
        <v>116</v>
      </c>
      <c r="I26" s="678" t="s">
        <v>117</v>
      </c>
      <c r="J26" s="678" t="s">
        <v>118</v>
      </c>
      <c r="K26" s="678" t="s">
        <v>149</v>
      </c>
      <c r="L26" s="678" t="s">
        <v>119</v>
      </c>
    </row>
    <row r="27" spans="1:14" ht="15.75" thickBot="1">
      <c r="A27" s="58" t="s">
        <v>47</v>
      </c>
      <c r="B27" s="92"/>
      <c r="C27" s="43"/>
      <c r="D27" s="43"/>
      <c r="E27" s="43"/>
      <c r="H27" s="679"/>
      <c r="I27" s="679"/>
      <c r="J27" s="679"/>
      <c r="K27" s="679"/>
      <c r="L27" s="679"/>
    </row>
    <row r="28" spans="1:14" ht="15.75" thickBot="1">
      <c r="A28" s="213" t="s">
        <v>46</v>
      </c>
      <c r="B28" s="213" t="s">
        <v>72</v>
      </c>
      <c r="C28" s="213" t="s">
        <v>45</v>
      </c>
      <c r="D28" s="213" t="s">
        <v>44</v>
      </c>
      <c r="E28" s="213" t="s">
        <v>43</v>
      </c>
      <c r="H28" s="608" t="s">
        <v>120</v>
      </c>
      <c r="I28" s="609">
        <f>C16</f>
        <v>398478.08219178085</v>
      </c>
      <c r="J28" s="609">
        <f>TServeiLot1[[#Totals],[Import net
2024]]</f>
        <v>1517419.8650136983</v>
      </c>
      <c r="K28" s="609">
        <f>TServeiLot1[[#Totals],[Import net
2025]]</f>
        <v>941202.05277368717</v>
      </c>
      <c r="L28" s="609">
        <f>SUM(I28:K28)</f>
        <v>2857099.9999791663</v>
      </c>
    </row>
    <row r="29" spans="1:14" ht="15.75" thickBot="1">
      <c r="A29" s="211">
        <v>2023</v>
      </c>
      <c r="B29" s="57" t="s">
        <v>214</v>
      </c>
      <c r="C29" s="212">
        <f>TServeiLot1[[#Totals],[Import net
2023]]+TserveisLot2[Import net
2023]</f>
        <v>465053.42465753428</v>
      </c>
      <c r="D29" s="212">
        <f>C29*0.21</f>
        <v>97661.219178082203</v>
      </c>
      <c r="E29" s="212">
        <f>C29+D29</f>
        <v>562714.64383561653</v>
      </c>
      <c r="H29" s="608" t="s">
        <v>121</v>
      </c>
      <c r="I29" s="610">
        <f>TserveisLot2[Import net
2023]</f>
        <v>66575.34246575342</v>
      </c>
      <c r="J29" s="609">
        <f>TserveisLot2[Import net
2024]</f>
        <v>270000</v>
      </c>
      <c r="K29" s="609">
        <f>I24</f>
        <v>214674.65753424657</v>
      </c>
      <c r="L29" s="609">
        <f>SUM(I29:K29)</f>
        <v>551250</v>
      </c>
    </row>
    <row r="30" spans="1:14" ht="15.75" thickBot="1">
      <c r="A30" s="211">
        <v>2024</v>
      </c>
      <c r="B30" s="57" t="s">
        <v>214</v>
      </c>
      <c r="C30" s="212">
        <f>TServeiLot1[[#Totals],[Import net
2024]]+TserveisLot2[Import net
2024]</f>
        <v>1787419.8650136983</v>
      </c>
      <c r="D30" s="212">
        <f>C30*0.21</f>
        <v>375358.17165287666</v>
      </c>
      <c r="E30" s="212">
        <f>C30+D30</f>
        <v>2162778.0366665749</v>
      </c>
      <c r="G30">
        <f>CalculPressup[[#Totals],[Import Total 
IVA inclòs]]</f>
        <v>3457090.978764792</v>
      </c>
      <c r="H30" s="611" t="s">
        <v>122</v>
      </c>
      <c r="I30" s="612">
        <f>I28+I29</f>
        <v>465053.42465753428</v>
      </c>
      <c r="J30" s="613">
        <f>SUM(J28:J29)</f>
        <v>1787419.8650136983</v>
      </c>
      <c r="K30" s="613">
        <f>SUM(K28:K29)</f>
        <v>1155876.7103079339</v>
      </c>
      <c r="L30" s="613">
        <f>SUM(L28:L29)</f>
        <v>3408349.9999791663</v>
      </c>
    </row>
    <row r="31" spans="1:14" ht="15.75" thickBot="1">
      <c r="A31" s="211">
        <v>2025</v>
      </c>
      <c r="B31" s="57" t="s">
        <v>214</v>
      </c>
      <c r="C31" s="212">
        <f>TServeiLot1[[#Totals],[Import net
2025]]+I24</f>
        <v>1155876.7103079339</v>
      </c>
      <c r="D31" s="212">
        <f>C31*0.21</f>
        <v>242734.10916466609</v>
      </c>
      <c r="E31" s="212">
        <f>C31+D31</f>
        <v>1398610.8194726</v>
      </c>
      <c r="H31" s="608" t="s">
        <v>44</v>
      </c>
      <c r="I31" s="610">
        <f>I30*0.21</f>
        <v>97661.219178082203</v>
      </c>
      <c r="J31" s="610">
        <f>J30*0.21</f>
        <v>375358.17165287666</v>
      </c>
      <c r="K31" s="610">
        <f>K30*0.21</f>
        <v>242734.10916466609</v>
      </c>
      <c r="L31" s="610">
        <f>L30*0.21</f>
        <v>715753.49999562488</v>
      </c>
      <c r="M31" s="508" t="s">
        <v>218</v>
      </c>
    </row>
    <row r="32" spans="1:14" ht="30.75" thickBot="1">
      <c r="A32" s="211" t="s">
        <v>6</v>
      </c>
      <c r="B32" s="500"/>
      <c r="C32" s="501">
        <f>SUBTOTAL(109,TCapitol[Pressupost net])</f>
        <v>3408349.9999791663</v>
      </c>
      <c r="D32" s="501">
        <f>SUBTOTAL(109,TCapitol[IVA])</f>
        <v>715753.49999562488</v>
      </c>
      <c r="E32" s="501">
        <f>SUBTOTAL(109,TCapitol[Import total])</f>
        <v>4124103.499974791</v>
      </c>
      <c r="H32" s="614" t="s">
        <v>128</v>
      </c>
      <c r="I32" s="615">
        <f>SUM(I30:I31)</f>
        <v>562714.64383561653</v>
      </c>
      <c r="J32" s="616">
        <f>SUM(J30:J31)</f>
        <v>2162778.0366665749</v>
      </c>
      <c r="K32" s="616">
        <f>SUM(K30:K31)</f>
        <v>1398610.8194726</v>
      </c>
      <c r="L32" s="616">
        <f>SUM(L30:L31)</f>
        <v>4124103.499974791</v>
      </c>
    </row>
    <row r="33" spans="1:20">
      <c r="D33" s="507" t="s">
        <v>218</v>
      </c>
      <c r="E33" s="507" t="s">
        <v>218</v>
      </c>
    </row>
    <row r="36" spans="1:20">
      <c r="A36" s="48" t="s">
        <v>42</v>
      </c>
      <c r="B36" s="43"/>
      <c r="C36" s="43"/>
      <c r="D36" s="43"/>
      <c r="E36" s="56"/>
      <c r="F36" s="43"/>
      <c r="H36" s="48" t="s">
        <v>222</v>
      </c>
      <c r="I36" s="229"/>
      <c r="J36" s="229"/>
      <c r="K36" s="229"/>
      <c r="L36" s="56"/>
      <c r="M36" s="229"/>
    </row>
    <row r="37" spans="1:20" ht="38.25">
      <c r="A37" s="55" t="s">
        <v>41</v>
      </c>
      <c r="B37" s="55" t="s">
        <v>40</v>
      </c>
      <c r="C37" s="55" t="s">
        <v>39</v>
      </c>
      <c r="D37" s="55" t="s">
        <v>38</v>
      </c>
      <c r="E37" s="55" t="s">
        <v>37</v>
      </c>
      <c r="F37" s="55" t="s">
        <v>36</v>
      </c>
      <c r="H37" s="55" t="s">
        <v>41</v>
      </c>
      <c r="I37" s="55" t="s">
        <v>40</v>
      </c>
      <c r="J37" s="55" t="s">
        <v>39</v>
      </c>
      <c r="K37" s="55" t="s">
        <v>38</v>
      </c>
      <c r="L37" s="55" t="s">
        <v>37</v>
      </c>
      <c r="M37" s="55" t="s">
        <v>36</v>
      </c>
      <c r="O37" s="48" t="s">
        <v>223</v>
      </c>
      <c r="P37" s="229"/>
      <c r="Q37" s="229"/>
      <c r="R37" s="229"/>
      <c r="S37" s="56"/>
      <c r="T37" s="229"/>
    </row>
    <row r="38" spans="1:20" ht="76.5">
      <c r="A38" s="54" t="s">
        <v>35</v>
      </c>
      <c r="B38" s="53">
        <f>TCapitol[[#Totals],[Import total]]</f>
        <v>4124103.499974791</v>
      </c>
      <c r="C38" s="491">
        <v>0.2</v>
      </c>
      <c r="D38" s="44">
        <f>+ROUND(B38*C38,2)</f>
        <v>824820.7</v>
      </c>
      <c r="E38" s="491">
        <v>0.2</v>
      </c>
      <c r="F38" s="44">
        <f>+ROUND(B38*E38,2)</f>
        <v>824820.7</v>
      </c>
      <c r="H38" s="54" t="s">
        <v>35</v>
      </c>
      <c r="I38" s="53">
        <f>TServeiLot1[[#Totals],[Total import contracte]]</f>
        <v>3457090.9979791669</v>
      </c>
      <c r="J38" s="510">
        <v>0.2</v>
      </c>
      <c r="K38" s="236">
        <f>+ROUND(I38*J38,2)</f>
        <v>691418.2</v>
      </c>
      <c r="L38" s="510">
        <v>0.2</v>
      </c>
      <c r="M38" s="236">
        <f>+ROUND(I38*L38,2)</f>
        <v>691418.2</v>
      </c>
      <c r="N38" s="103"/>
      <c r="O38" s="55" t="s">
        <v>41</v>
      </c>
      <c r="P38" s="55" t="s">
        <v>40</v>
      </c>
      <c r="Q38" s="55" t="s">
        <v>39</v>
      </c>
      <c r="R38" s="55" t="s">
        <v>38</v>
      </c>
      <c r="S38" s="55" t="s">
        <v>37</v>
      </c>
      <c r="T38" s="55" t="s">
        <v>36</v>
      </c>
    </row>
    <row r="39" spans="1:20" ht="25.5">
      <c r="A39" s="52" t="s">
        <v>34</v>
      </c>
      <c r="B39" s="51">
        <f>SUM(B38:B38)</f>
        <v>4124103.499974791</v>
      </c>
      <c r="C39" s="91">
        <f>SUM(C38:C38)</f>
        <v>0.2</v>
      </c>
      <c r="D39" s="45">
        <f>SUM(D38:D38)</f>
        <v>824820.7</v>
      </c>
      <c r="E39" s="91">
        <f>SUM(E38:E38)</f>
        <v>0.2</v>
      </c>
      <c r="F39" s="45">
        <f>SUM(F38:F38)</f>
        <v>824820.7</v>
      </c>
      <c r="H39" s="52" t="s">
        <v>34</v>
      </c>
      <c r="I39" s="51">
        <f>SUM(I38:I38)</f>
        <v>3457090.9979791669</v>
      </c>
      <c r="J39" s="91">
        <f>SUM(J38:J38)</f>
        <v>0.2</v>
      </c>
      <c r="K39" s="225">
        <f>SUM(K38:K38)</f>
        <v>691418.2</v>
      </c>
      <c r="L39" s="91">
        <f>SUM(L38:L38)</f>
        <v>0.2</v>
      </c>
      <c r="M39" s="225">
        <f>SUM(M38:M38)</f>
        <v>691418.2</v>
      </c>
      <c r="O39" s="54" t="s">
        <v>35</v>
      </c>
      <c r="P39" s="511">
        <f>'Càlcul pressupost '!J27</f>
        <v>667012.5</v>
      </c>
      <c r="Q39" s="510">
        <v>0.2</v>
      </c>
      <c r="R39" s="236">
        <f>+ROUND(P39*Q39,2)</f>
        <v>133402.5</v>
      </c>
      <c r="S39" s="510">
        <v>0.2</v>
      </c>
      <c r="T39" s="232">
        <f>+ROUND(P39*S39,2)</f>
        <v>133402.5</v>
      </c>
    </row>
    <row r="40" spans="1:20">
      <c r="A40" s="43"/>
      <c r="B40" s="43"/>
      <c r="C40" s="43"/>
      <c r="D40" s="50">
        <f>+ROUND(D39/1.21,2)</f>
        <v>681670</v>
      </c>
      <c r="E40" s="43"/>
      <c r="F40" s="50">
        <f>+ROUND(F39/1.21,2)</f>
        <v>681670</v>
      </c>
      <c r="H40" s="229"/>
      <c r="I40" s="229"/>
      <c r="J40" s="229"/>
      <c r="K40" s="50">
        <f>+ROUND(K39/1.21,2)</f>
        <v>571420</v>
      </c>
      <c r="L40" s="229"/>
      <c r="M40" s="50">
        <f>+ROUND(M39/1.21,2)</f>
        <v>571420</v>
      </c>
      <c r="O40" s="52" t="s">
        <v>34</v>
      </c>
      <c r="P40" s="51">
        <f>SUM(P39:P39)</f>
        <v>667012.5</v>
      </c>
      <c r="Q40" s="91">
        <f>SUM(Q39:Q39)</f>
        <v>0.2</v>
      </c>
      <c r="R40" s="225">
        <f>SUM(R39:R39)</f>
        <v>133402.5</v>
      </c>
      <c r="S40" s="91">
        <f>SUM(S39:S39)</f>
        <v>0.2</v>
      </c>
      <c r="T40" s="225">
        <f>SUM(T39:T39)</f>
        <v>133402.5</v>
      </c>
    </row>
    <row r="41" spans="1:20">
      <c r="A41" s="43"/>
      <c r="B41" s="43"/>
      <c r="C41" s="43"/>
      <c r="D41" s="49" t="s">
        <v>33</v>
      </c>
      <c r="E41" s="43"/>
      <c r="F41" s="49" t="s">
        <v>33</v>
      </c>
      <c r="H41" s="229"/>
      <c r="I41" s="229"/>
      <c r="J41" s="229"/>
      <c r="K41" s="49" t="s">
        <v>33</v>
      </c>
      <c r="L41" s="229"/>
      <c r="M41" s="49" t="s">
        <v>33</v>
      </c>
      <c r="O41" s="229"/>
      <c r="P41" s="229"/>
      <c r="Q41" s="229"/>
      <c r="R41" s="50">
        <f>+ROUND(R40/1.21,2)</f>
        <v>110250</v>
      </c>
      <c r="S41" s="229"/>
      <c r="T41" s="50">
        <f>+ROUND(T40/1.21,2)</f>
        <v>110250</v>
      </c>
    </row>
    <row r="42" spans="1:20">
      <c r="A42" s="48" t="s">
        <v>150</v>
      </c>
      <c r="B42" s="43"/>
      <c r="C42" s="43"/>
      <c r="D42" s="43"/>
      <c r="E42" s="43"/>
      <c r="F42" s="43"/>
      <c r="O42" s="229"/>
      <c r="P42" s="229"/>
      <c r="Q42" s="229"/>
      <c r="R42" s="49" t="s">
        <v>33</v>
      </c>
      <c r="S42" s="229"/>
      <c r="T42" s="49" t="s">
        <v>33</v>
      </c>
    </row>
    <row r="43" spans="1:20">
      <c r="A43" s="43"/>
      <c r="B43" s="43"/>
      <c r="C43" s="43"/>
      <c r="D43" s="43"/>
      <c r="E43" s="43"/>
      <c r="F43" s="43"/>
    </row>
    <row r="44" spans="1:20" ht="51">
      <c r="A44" s="46" t="s">
        <v>153</v>
      </c>
      <c r="B44" s="47" t="s">
        <v>32</v>
      </c>
      <c r="C44" s="47" t="s">
        <v>31</v>
      </c>
      <c r="D44" s="47" t="s">
        <v>30</v>
      </c>
      <c r="E44" s="47" t="s">
        <v>29</v>
      </c>
      <c r="F44" s="47" t="s">
        <v>28</v>
      </c>
    </row>
    <row r="45" spans="1:20">
      <c r="A45" s="46">
        <v>2023</v>
      </c>
      <c r="B45" s="212">
        <f>C29</f>
        <v>465053.42465753428</v>
      </c>
      <c r="C45" s="212"/>
      <c r="D45" s="232">
        <f>ROUND(G45/$G$49*$D$40,2)</f>
        <v>62227.73</v>
      </c>
      <c r="E45" s="227">
        <f>ROUND(-G45/$G$49*$F$40,2)</f>
        <v>-62227.73</v>
      </c>
      <c r="F45" s="223">
        <f>SUM(B45:D45)</f>
        <v>527281.15465753432</v>
      </c>
      <c r="G45" s="224">
        <f>B45+C45</f>
        <v>465053.42465753428</v>
      </c>
    </row>
    <row r="46" spans="1:20">
      <c r="A46" s="46">
        <v>2024</v>
      </c>
      <c r="B46" s="212">
        <f>C30</f>
        <v>1787419.8650136983</v>
      </c>
      <c r="C46" s="212"/>
      <c r="D46" s="232">
        <f>ROUND(G46/$G$49*$D$40,2)</f>
        <v>239170.56</v>
      </c>
      <c r="E46" s="236">
        <f>ROUND(-G46/$G$49*$F$40,2)</f>
        <v>-239170.56</v>
      </c>
      <c r="F46" s="223">
        <f>SUM(B46:D46)</f>
        <v>2026590.4250136984</v>
      </c>
      <c r="G46" s="235">
        <f>B46+C46</f>
        <v>1787419.8650136983</v>
      </c>
    </row>
    <row r="47" spans="1:20">
      <c r="A47" s="46">
        <v>2025</v>
      </c>
      <c r="B47" s="212">
        <f>C31</f>
        <v>1155876.7103079339</v>
      </c>
      <c r="C47" s="212">
        <f>('Càlcul pressupost '!Q21)*3+('Càlcul pressupost '!Q25)*3</f>
        <v>421512.49987499998</v>
      </c>
      <c r="D47" s="232">
        <f>ROUND(G47/$G$49*$D$40,2)</f>
        <v>211066.84</v>
      </c>
      <c r="E47" s="236">
        <f>ROUND(-G47/$G$49*$F$40,2)</f>
        <v>-211066.84</v>
      </c>
      <c r="F47" s="223">
        <f>SUM(B47:D47)</f>
        <v>1788456.0501829339</v>
      </c>
      <c r="G47" s="235">
        <f>B47+C47</f>
        <v>1577389.2101829338</v>
      </c>
    </row>
    <row r="48" spans="1:20">
      <c r="A48" s="46">
        <v>2026</v>
      </c>
      <c r="B48" s="212"/>
      <c r="C48" s="212">
        <f>('Càlcul pressupost '!Q21)*9+('Càlcul pressupost '!Q25)*9</f>
        <v>1264537.4996249999</v>
      </c>
      <c r="D48" s="232">
        <f>ROUND(G48/$G$49*$D$40,2)</f>
        <v>169204.87</v>
      </c>
      <c r="E48" s="236">
        <f>ROUND(-G48/$G$49*$F$40,2)</f>
        <v>-169204.87</v>
      </c>
      <c r="F48" s="223">
        <f>SUM(B48:D48)</f>
        <v>1433742.3696249998</v>
      </c>
      <c r="G48" s="235">
        <f>B48+C48</f>
        <v>1264537.4996249999</v>
      </c>
    </row>
    <row r="49" spans="1:12">
      <c r="A49" s="220" t="s">
        <v>6</v>
      </c>
      <c r="B49" s="219">
        <f>SUM(B45:B48)</f>
        <v>3408349.9999791663</v>
      </c>
      <c r="C49" s="219">
        <f>SUM(C47:C48)</f>
        <v>1686049.9994999999</v>
      </c>
      <c r="D49" s="225">
        <f>SUM(D45:D48)</f>
        <v>681670</v>
      </c>
      <c r="E49" s="225">
        <f>SUM(E45:E48)</f>
        <v>-681670</v>
      </c>
      <c r="F49" s="226">
        <f>SUM(F45:F48)</f>
        <v>5776069.9994791672</v>
      </c>
      <c r="G49" s="218">
        <f>B49+C49</f>
        <v>5094399.9994791662</v>
      </c>
    </row>
    <row r="50" spans="1:12">
      <c r="C50" s="237"/>
    </row>
    <row r="51" spans="1:12">
      <c r="C51" s="212"/>
    </row>
    <row r="52" spans="1:12" ht="15.75">
      <c r="A52" s="234" t="s">
        <v>27</v>
      </c>
      <c r="B52" s="686" t="s">
        <v>163</v>
      </c>
      <c r="C52" s="687"/>
      <c r="D52" s="687"/>
      <c r="E52" s="687"/>
      <c r="I52" s="513"/>
    </row>
    <row r="53" spans="1:12">
      <c r="A53" s="498">
        <f>L30</f>
        <v>3408349.9999791663</v>
      </c>
      <c r="B53" s="672" t="s">
        <v>26</v>
      </c>
      <c r="C53" s="673"/>
      <c r="D53" s="672" t="s">
        <v>25</v>
      </c>
      <c r="E53" s="673"/>
    </row>
    <row r="54" spans="1:12">
      <c r="A54" s="234" t="s">
        <v>24</v>
      </c>
      <c r="B54" s="234" t="s">
        <v>23</v>
      </c>
      <c r="C54" s="234" t="s">
        <v>21</v>
      </c>
      <c r="D54" s="234" t="s">
        <v>22</v>
      </c>
      <c r="E54" s="234" t="s">
        <v>21</v>
      </c>
    </row>
    <row r="55" spans="1:12">
      <c r="A55" s="233">
        <v>3</v>
      </c>
      <c r="B55" s="232">
        <f>+C55/A55</f>
        <v>852087.49999479158</v>
      </c>
      <c r="C55" s="232">
        <f>1.5*(A53/2)</f>
        <v>2556262.4999843747</v>
      </c>
      <c r="D55" s="232">
        <f>ROUND(A53*2/3/A55,2)</f>
        <v>757411.11</v>
      </c>
      <c r="E55" s="232">
        <f>+C55</f>
        <v>2556262.4999843747</v>
      </c>
    </row>
    <row r="56" spans="1:12">
      <c r="A56" s="229"/>
      <c r="B56" s="230" t="s">
        <v>20</v>
      </c>
      <c r="C56" s="230" t="s">
        <v>18</v>
      </c>
      <c r="D56" s="231" t="s">
        <v>19</v>
      </c>
      <c r="E56" s="230" t="s">
        <v>18</v>
      </c>
    </row>
    <row r="57" spans="1:12">
      <c r="H57" s="499"/>
      <c r="I57" s="499"/>
    </row>
    <row r="60" spans="1:12">
      <c r="A60" s="48" t="s">
        <v>161</v>
      </c>
      <c r="B60" s="229"/>
      <c r="C60" s="229"/>
      <c r="D60" s="229"/>
      <c r="E60" s="229"/>
      <c r="F60" s="229"/>
      <c r="G60" s="88"/>
    </row>
    <row r="61" spans="1:12" ht="15.75" thickBot="1">
      <c r="A61" s="229"/>
      <c r="B61" s="229"/>
      <c r="C61" s="229"/>
      <c r="D61" s="229"/>
      <c r="E61" s="229"/>
      <c r="F61" s="229"/>
      <c r="G61" s="88"/>
    </row>
    <row r="62" spans="1:12" ht="51">
      <c r="A62" s="46" t="s">
        <v>153</v>
      </c>
      <c r="B62" s="47" t="s">
        <v>32</v>
      </c>
      <c r="C62" s="47" t="s">
        <v>31</v>
      </c>
      <c r="D62" s="47" t="s">
        <v>30</v>
      </c>
      <c r="E62" s="47" t="s">
        <v>29</v>
      </c>
      <c r="F62" s="47" t="s">
        <v>28</v>
      </c>
      <c r="G62" s="88"/>
      <c r="H62" s="250" t="s">
        <v>216</v>
      </c>
      <c r="I62" s="669" t="s">
        <v>225</v>
      </c>
      <c r="J62" s="670"/>
      <c r="K62" s="670"/>
      <c r="L62" s="671"/>
    </row>
    <row r="63" spans="1:12">
      <c r="A63" s="46">
        <v>2023</v>
      </c>
      <c r="B63" s="166">
        <f>TServeiLot1[[#Totals],[Import net
2023]]</f>
        <v>398478.08219178085</v>
      </c>
      <c r="C63" s="166"/>
      <c r="D63" s="232">
        <f>ROUND(G63/$G$49*$D$40,2)</f>
        <v>53319.44</v>
      </c>
      <c r="E63" s="236">
        <f>ROUND(-G63/$G$49*$F$40,2)</f>
        <v>-53319.44</v>
      </c>
      <c r="F63" s="223">
        <f>SUM(B63:D63)</f>
        <v>451797.52219178085</v>
      </c>
      <c r="G63" s="235">
        <f>B63+C63</f>
        <v>398478.08219178085</v>
      </c>
      <c r="H63" s="497">
        <f>L16</f>
        <v>2857099.9989791666</v>
      </c>
      <c r="I63" s="672" t="s">
        <v>26</v>
      </c>
      <c r="J63" s="673"/>
      <c r="K63" s="672" t="s">
        <v>25</v>
      </c>
      <c r="L63" s="674"/>
    </row>
    <row r="64" spans="1:12">
      <c r="A64" s="46">
        <v>2024</v>
      </c>
      <c r="B64" s="166">
        <f>TServeiLot1[[#Totals],[Import net
2024]]</f>
        <v>1517419.8650136983</v>
      </c>
      <c r="C64" s="166"/>
      <c r="D64" s="232">
        <f>ROUND(G64/$G$49*$D$40,2)</f>
        <v>203042.48</v>
      </c>
      <c r="E64" s="236">
        <f>ROUND(-G64/$G$49*$F$40,2)</f>
        <v>-203042.48</v>
      </c>
      <c r="F64" s="223">
        <f>SUM(B64:D64)</f>
        <v>1720462.3450136983</v>
      </c>
      <c r="G64" s="235">
        <f>B64+C64</f>
        <v>1517419.8650136983</v>
      </c>
      <c r="H64" s="251" t="s">
        <v>24</v>
      </c>
      <c r="I64" s="234" t="s">
        <v>23</v>
      </c>
      <c r="J64" s="234" t="s">
        <v>21</v>
      </c>
      <c r="K64" s="234" t="s">
        <v>22</v>
      </c>
      <c r="L64" s="252" t="s">
        <v>21</v>
      </c>
    </row>
    <row r="65" spans="1:12">
      <c r="A65" s="46">
        <v>2025</v>
      </c>
      <c r="B65" s="166">
        <f>TServeiLot1[[#Totals],[Import net
2025]]</f>
        <v>941202.05277368717</v>
      </c>
      <c r="C65" s="166">
        <f>('Càlcul pressupost '!Q21)*3</f>
        <v>354012.49987499998</v>
      </c>
      <c r="D65" s="232">
        <f>ROUND(G65/$G$49*$D$40,2)</f>
        <v>173309.69</v>
      </c>
      <c r="E65" s="236">
        <f>ROUND(-G65/$G$49*$F$40,2)</f>
        <v>-173309.69</v>
      </c>
      <c r="F65" s="223">
        <f>SUM(B65:D65)</f>
        <v>1468524.2426486872</v>
      </c>
      <c r="G65" s="235">
        <f>B65+C65</f>
        <v>1295214.5526486873</v>
      </c>
      <c r="H65" s="253">
        <v>2</v>
      </c>
      <c r="I65" s="232">
        <f>+J65/H65</f>
        <v>1071412.4996171875</v>
      </c>
      <c r="J65" s="232">
        <f>(H63/2)*1.5</f>
        <v>2142824.9992343751</v>
      </c>
      <c r="K65" s="232">
        <f>ROUND(H63*2/3/H65,2)</f>
        <v>952366.67</v>
      </c>
      <c r="L65" s="254">
        <f>+J65</f>
        <v>2142824.9992343751</v>
      </c>
    </row>
    <row r="66" spans="1:12" ht="15.75" thickBot="1">
      <c r="A66" s="46">
        <v>2026</v>
      </c>
      <c r="B66" s="166"/>
      <c r="C66" s="166">
        <f>('Càlcul pressupost '!Q21)*9</f>
        <v>1062037.4996249999</v>
      </c>
      <c r="D66" s="232">
        <f>ROUND(G66/$G$49*$D$40,2)</f>
        <v>142108.81</v>
      </c>
      <c r="E66" s="236">
        <f>ROUND(-G66/$G$49*$F$40,2)</f>
        <v>-142108.81</v>
      </c>
      <c r="F66" s="223">
        <f>SUM(B66:D66)</f>
        <v>1204146.309625</v>
      </c>
      <c r="G66" s="235">
        <f>B66+C66</f>
        <v>1062037.4996249999</v>
      </c>
      <c r="H66" s="255"/>
      <c r="I66" s="256" t="s">
        <v>20</v>
      </c>
      <c r="J66" s="256" t="s">
        <v>18</v>
      </c>
      <c r="K66" s="257" t="s">
        <v>19</v>
      </c>
      <c r="L66" s="258" t="s">
        <v>18</v>
      </c>
    </row>
    <row r="67" spans="1:12">
      <c r="A67" s="561" t="s">
        <v>6</v>
      </c>
      <c r="B67" s="219">
        <f>SUM(B63:B66)</f>
        <v>2857099.9999791663</v>
      </c>
      <c r="C67" s="219">
        <f>SUM(C65:C66)</f>
        <v>1416049.9994999999</v>
      </c>
      <c r="D67" s="225">
        <f>SUM(D63:D66)</f>
        <v>571780.41999999993</v>
      </c>
      <c r="E67" s="225">
        <f>SUM(E63:E66)</f>
        <v>-571780.41999999993</v>
      </c>
      <c r="F67" s="226">
        <f>SUM(F63:F66)-0.01</f>
        <v>4844930.4094791664</v>
      </c>
      <c r="G67" s="218">
        <f>B67+C67</f>
        <v>4273149.9994791662</v>
      </c>
    </row>
    <row r="68" spans="1:12">
      <c r="K68" s="499"/>
    </row>
    <row r="71" spans="1:12">
      <c r="A71" s="48" t="s">
        <v>162</v>
      </c>
      <c r="B71" s="229"/>
      <c r="C71" s="229"/>
      <c r="D71" s="229"/>
      <c r="E71" s="229"/>
      <c r="F71" s="229"/>
      <c r="G71" s="88"/>
    </row>
    <row r="72" spans="1:12" ht="15.75" thickBot="1">
      <c r="A72" s="229"/>
      <c r="B72" s="229"/>
      <c r="C72" s="229"/>
      <c r="D72" s="229"/>
      <c r="E72" s="229"/>
      <c r="F72" s="229"/>
      <c r="G72" s="88"/>
    </row>
    <row r="73" spans="1:12" ht="51">
      <c r="A73" s="46" t="s">
        <v>153</v>
      </c>
      <c r="B73" s="47" t="s">
        <v>32</v>
      </c>
      <c r="C73" s="47" t="s">
        <v>31</v>
      </c>
      <c r="D73" s="47" t="s">
        <v>30</v>
      </c>
      <c r="E73" s="47" t="s">
        <v>29</v>
      </c>
      <c r="F73" s="47" t="s">
        <v>28</v>
      </c>
      <c r="G73" s="88"/>
      <c r="H73" s="250" t="s">
        <v>217</v>
      </c>
      <c r="I73" s="669" t="s">
        <v>224</v>
      </c>
      <c r="J73" s="670"/>
      <c r="K73" s="670"/>
      <c r="L73" s="671"/>
    </row>
    <row r="74" spans="1:12">
      <c r="A74" s="46">
        <v>2023</v>
      </c>
      <c r="B74" s="212">
        <f>'Càlcul pressupost '!M27</f>
        <v>66575.34246575342</v>
      </c>
      <c r="C74" s="212"/>
      <c r="D74" s="232">
        <f>ROUND(G74/$G$49*$D$40,2)</f>
        <v>8908.2900000000009</v>
      </c>
      <c r="E74" s="236">
        <f>ROUND(-G74/$G$49*$F$40,2)</f>
        <v>-8908.2900000000009</v>
      </c>
      <c r="F74" s="223">
        <f>SUM(B74:D74)</f>
        <v>75483.632465753413</v>
      </c>
      <c r="G74" s="235">
        <f>B74+C74</f>
        <v>66575.34246575342</v>
      </c>
      <c r="H74" s="497">
        <f>L22</f>
        <v>540000</v>
      </c>
      <c r="I74" s="672" t="s">
        <v>26</v>
      </c>
      <c r="J74" s="673"/>
      <c r="K74" s="672" t="s">
        <v>25</v>
      </c>
      <c r="L74" s="674"/>
    </row>
    <row r="75" spans="1:12">
      <c r="A75" s="46">
        <v>2024</v>
      </c>
      <c r="B75" s="212">
        <f>'Càlcul pressupost '!N27</f>
        <v>270000</v>
      </c>
      <c r="C75" s="212"/>
      <c r="D75" s="232">
        <f>ROUND(G75/$G$49*$D$40,2)</f>
        <v>36128.080000000002</v>
      </c>
      <c r="E75" s="236">
        <f>ROUND(-G75/$G$49*$F$40,2)</f>
        <v>-36128.080000000002</v>
      </c>
      <c r="F75" s="223">
        <f>SUM(B75:D75)</f>
        <v>306128.08</v>
      </c>
      <c r="G75" s="235">
        <f>B75+C75</f>
        <v>270000</v>
      </c>
      <c r="H75" s="251" t="s">
        <v>24</v>
      </c>
      <c r="I75" s="234" t="s">
        <v>23</v>
      </c>
      <c r="J75" s="234" t="s">
        <v>21</v>
      </c>
      <c r="K75" s="234" t="s">
        <v>22</v>
      </c>
      <c r="L75" s="252" t="s">
        <v>21</v>
      </c>
    </row>
    <row r="76" spans="1:12">
      <c r="A76" s="46">
        <v>2025</v>
      </c>
      <c r="B76" s="212">
        <f>'Càlcul pressupost '!O27</f>
        <v>214674.65753424657</v>
      </c>
      <c r="C76" s="212">
        <f>('Càlcul pressupost '!Q27*3)</f>
        <v>67500</v>
      </c>
      <c r="D76" s="232">
        <f>ROUND(G76/$G$49*$D$40,2)</f>
        <v>37757.14</v>
      </c>
      <c r="E76" s="236">
        <f>ROUND(-G76/$G$49*$F$40,2)</f>
        <v>-37757.14</v>
      </c>
      <c r="F76" s="223">
        <f>SUM(B76:D76)</f>
        <v>319931.79753424658</v>
      </c>
      <c r="G76" s="235">
        <f>B76+C76</f>
        <v>282174.65753424657</v>
      </c>
      <c r="H76" s="253">
        <v>2</v>
      </c>
      <c r="I76" s="232">
        <f>+J76/H76</f>
        <v>202500</v>
      </c>
      <c r="J76" s="232">
        <f>(H74/2)*1.5</f>
        <v>405000</v>
      </c>
      <c r="K76" s="232">
        <f>ROUND(H74*2/3/H76,2)</f>
        <v>180000</v>
      </c>
      <c r="L76" s="254">
        <f>+J76</f>
        <v>405000</v>
      </c>
    </row>
    <row r="77" spans="1:12" ht="15.75" thickBot="1">
      <c r="A77" s="46">
        <v>2026</v>
      </c>
      <c r="B77" s="212"/>
      <c r="C77" s="212">
        <f>'Càlcul pressupost '!Q27*9</f>
        <v>202500</v>
      </c>
      <c r="D77" s="232">
        <f>ROUND(G77/$G$49*$D$40,2)</f>
        <v>27096.06</v>
      </c>
      <c r="E77" s="236">
        <f>ROUND(-G77/$G$49*$F$40,2)</f>
        <v>-27096.06</v>
      </c>
      <c r="F77" s="223">
        <f>SUM(B77:D77)</f>
        <v>229596.06</v>
      </c>
      <c r="G77" s="235">
        <f>B77+C77</f>
        <v>202500</v>
      </c>
      <c r="H77" s="255"/>
      <c r="I77" s="256" t="s">
        <v>20</v>
      </c>
      <c r="J77" s="256" t="s">
        <v>18</v>
      </c>
      <c r="K77" s="257" t="s">
        <v>19</v>
      </c>
      <c r="L77" s="258" t="s">
        <v>18</v>
      </c>
    </row>
    <row r="78" spans="1:12">
      <c r="A78" s="220" t="s">
        <v>6</v>
      </c>
      <c r="B78" s="219">
        <f>SUM(B74:B77)</f>
        <v>551250</v>
      </c>
      <c r="C78" s="219">
        <f>SUM(C76:C77)</f>
        <v>270000</v>
      </c>
      <c r="D78" s="225">
        <f>SUM(D74:D77)</f>
        <v>109889.57</v>
      </c>
      <c r="E78" s="225">
        <f>SUM(E74:E77)</f>
        <v>-109889.57</v>
      </c>
      <c r="F78" s="226">
        <f>SUM(F74:F77)</f>
        <v>931139.57000000007</v>
      </c>
      <c r="G78" s="218">
        <f>B78+C78</f>
        <v>821250</v>
      </c>
    </row>
    <row r="83" spans="2:8" ht="15.75" thickBot="1"/>
    <row r="84" spans="2:8" ht="38.25">
      <c r="B84" s="688" t="s">
        <v>264</v>
      </c>
      <c r="C84" s="630" t="s">
        <v>185</v>
      </c>
      <c r="D84" s="295" t="s">
        <v>212</v>
      </c>
      <c r="E84" s="590">
        <v>312100</v>
      </c>
    </row>
    <row r="85" spans="2:8">
      <c r="B85" s="688"/>
      <c r="C85" s="632"/>
      <c r="D85" s="301" t="s">
        <v>88</v>
      </c>
      <c r="E85" s="591">
        <v>250000</v>
      </c>
    </row>
    <row r="86" spans="2:8" ht="26.25" thickBot="1">
      <c r="B86" s="688"/>
      <c r="C86" s="633"/>
      <c r="D86" s="490" t="s">
        <v>157</v>
      </c>
      <c r="E86" s="591">
        <v>100000</v>
      </c>
    </row>
    <row r="87" spans="2:8" ht="16.5" thickTop="1" thickBot="1">
      <c r="B87" s="595"/>
      <c r="C87" s="289" t="s">
        <v>47</v>
      </c>
      <c r="D87" s="308" t="s">
        <v>186</v>
      </c>
      <c r="E87" s="592">
        <v>662100</v>
      </c>
    </row>
    <row r="88" spans="2:8" ht="33.75" customHeight="1">
      <c r="B88" s="688" t="s">
        <v>264</v>
      </c>
      <c r="C88" s="630" t="s">
        <v>182</v>
      </c>
      <c r="D88" s="305" t="s">
        <v>86</v>
      </c>
      <c r="E88" s="591">
        <v>150000</v>
      </c>
      <c r="G88" s="593" t="s">
        <v>264</v>
      </c>
      <c r="H88" s="164">
        <f>E87+E90+E92+E98</f>
        <v>1957100</v>
      </c>
    </row>
    <row r="89" spans="2:8" ht="30.75" customHeight="1" thickBot="1">
      <c r="B89" s="688"/>
      <c r="C89" s="633"/>
      <c r="D89" s="311" t="s">
        <v>87</v>
      </c>
      <c r="E89" s="591">
        <v>150000</v>
      </c>
      <c r="G89" s="594" t="s">
        <v>265</v>
      </c>
      <c r="H89" s="544">
        <f>E95</f>
        <v>900000</v>
      </c>
    </row>
    <row r="90" spans="2:8" ht="16.5" thickTop="1" thickBot="1">
      <c r="B90" s="595"/>
      <c r="C90" s="289" t="s">
        <v>47</v>
      </c>
      <c r="D90" s="308" t="s">
        <v>187</v>
      </c>
      <c r="E90" s="592">
        <v>300000</v>
      </c>
    </row>
    <row r="91" spans="2:8" ht="15.75" thickBot="1">
      <c r="B91" s="688" t="s">
        <v>264</v>
      </c>
      <c r="C91" s="325" t="s">
        <v>77</v>
      </c>
      <c r="D91" s="326" t="s">
        <v>77</v>
      </c>
      <c r="E91" s="591">
        <v>770000</v>
      </c>
    </row>
    <row r="92" spans="2:8" ht="16.5" thickTop="1" thickBot="1">
      <c r="B92" s="688"/>
      <c r="C92" s="322" t="s">
        <v>47</v>
      </c>
      <c r="D92" s="316" t="s">
        <v>188</v>
      </c>
      <c r="E92" s="592">
        <v>770000</v>
      </c>
    </row>
    <row r="93" spans="2:8" ht="26.25">
      <c r="B93" s="688"/>
      <c r="C93" s="630" t="s">
        <v>183</v>
      </c>
      <c r="D93" s="305" t="s">
        <v>79</v>
      </c>
      <c r="E93" s="591">
        <v>450000</v>
      </c>
    </row>
    <row r="94" spans="2:8" ht="26.25" thickBot="1">
      <c r="B94" s="688"/>
      <c r="C94" s="633"/>
      <c r="D94" s="490" t="s">
        <v>74</v>
      </c>
      <c r="E94" s="591">
        <v>450000</v>
      </c>
    </row>
    <row r="95" spans="2:8" ht="16.5" thickTop="1" thickBot="1">
      <c r="B95" s="595"/>
      <c r="C95" s="322" t="s">
        <v>47</v>
      </c>
      <c r="D95" s="316" t="s">
        <v>189</v>
      </c>
      <c r="E95" s="592">
        <v>900000</v>
      </c>
    </row>
    <row r="96" spans="2:8">
      <c r="B96" s="688" t="s">
        <v>264</v>
      </c>
      <c r="C96" s="630" t="s">
        <v>184</v>
      </c>
      <c r="D96" s="305" t="s">
        <v>75</v>
      </c>
      <c r="E96" s="591">
        <v>200000</v>
      </c>
    </row>
    <row r="97" spans="2:5" ht="15.75" thickBot="1">
      <c r="B97" s="688"/>
      <c r="C97" s="631"/>
      <c r="D97" s="311" t="s">
        <v>129</v>
      </c>
      <c r="E97" s="591">
        <v>25000</v>
      </c>
    </row>
    <row r="98" spans="2:5" ht="16.5" thickTop="1" thickBot="1">
      <c r="C98" s="306" t="s">
        <v>47</v>
      </c>
      <c r="D98" s="308" t="s">
        <v>190</v>
      </c>
      <c r="E98" s="592">
        <v>225000</v>
      </c>
    </row>
    <row r="99" spans="2:5">
      <c r="E99" s="260">
        <v>2857100</v>
      </c>
    </row>
  </sheetData>
  <mergeCells count="32">
    <mergeCell ref="C84:C86"/>
    <mergeCell ref="C88:C89"/>
    <mergeCell ref="C93:C94"/>
    <mergeCell ref="C96:C97"/>
    <mergeCell ref="A12:A13"/>
    <mergeCell ref="A14:A15"/>
    <mergeCell ref="B52:E52"/>
    <mergeCell ref="B53:C53"/>
    <mergeCell ref="D53:E53"/>
    <mergeCell ref="B84:B86"/>
    <mergeCell ref="B88:B89"/>
    <mergeCell ref="B93:B94"/>
    <mergeCell ref="B96:B97"/>
    <mergeCell ref="B91:B92"/>
    <mergeCell ref="C4:E4"/>
    <mergeCell ref="F4:H4"/>
    <mergeCell ref="I4:K4"/>
    <mergeCell ref="A6:A8"/>
    <mergeCell ref="A9:A10"/>
    <mergeCell ref="I73:L73"/>
    <mergeCell ref="I74:J74"/>
    <mergeCell ref="K74:L74"/>
    <mergeCell ref="I20:K20"/>
    <mergeCell ref="F20:H20"/>
    <mergeCell ref="L26:L27"/>
    <mergeCell ref="K26:K27"/>
    <mergeCell ref="H26:H27"/>
    <mergeCell ref="I26:I27"/>
    <mergeCell ref="J26:J27"/>
    <mergeCell ref="I62:L62"/>
    <mergeCell ref="I63:J63"/>
    <mergeCell ref="K63:L63"/>
  </mergeCells>
  <pageMargins left="0.7" right="0.7" top="0.75" bottom="0.75" header="0.3" footer="0.3"/>
  <pageSetup paperSize="9" orientation="portrait" r:id="rId1"/>
  <legacy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1"/>
  <sheetViews>
    <sheetView workbookViewId="0">
      <selection activeCell="D8" sqref="D8:D11"/>
    </sheetView>
  </sheetViews>
  <sheetFormatPr defaultColWidth="14.42578125" defaultRowHeight="15"/>
  <cols>
    <col min="1" max="2" width="11.42578125" style="62" customWidth="1"/>
    <col min="3" max="3" width="46.28515625" style="62" bestFit="1" customWidth="1"/>
    <col min="4" max="4" width="28.7109375" style="62" customWidth="1"/>
    <col min="5" max="5" width="20.7109375" style="62" customWidth="1"/>
    <col min="6" max="6" width="15.85546875" style="62" customWidth="1"/>
    <col min="7" max="7" width="12.140625" style="62" bestFit="1" customWidth="1"/>
    <col min="8" max="8" width="13.140625" style="62" bestFit="1" customWidth="1"/>
    <col min="9" max="9" width="13.42578125" style="62" bestFit="1" customWidth="1"/>
    <col min="10" max="10" width="16" style="62" bestFit="1" customWidth="1"/>
    <col min="11" max="11" width="15.28515625" style="62" bestFit="1" customWidth="1"/>
    <col min="12" max="12" width="14.28515625" style="62" bestFit="1" customWidth="1"/>
    <col min="13" max="13" width="19.7109375" style="62" bestFit="1" customWidth="1"/>
    <col min="14" max="14" width="17.7109375" style="62" customWidth="1"/>
    <col min="15" max="28" width="11.42578125" style="62" customWidth="1"/>
    <col min="29" max="16384" width="14.42578125" style="62"/>
  </cols>
  <sheetData>
    <row r="1" spans="1:13">
      <c r="G1" s="63"/>
    </row>
    <row r="2" spans="1:13">
      <c r="A2" s="87" t="s">
        <v>67</v>
      </c>
      <c r="B2" s="85"/>
      <c r="C2" s="85"/>
      <c r="D2" s="85"/>
      <c r="E2" s="85"/>
      <c r="F2" s="85"/>
      <c r="G2" s="86"/>
      <c r="H2" s="85"/>
      <c r="I2" s="85"/>
      <c r="J2" s="85"/>
    </row>
    <row r="3" spans="1:13" ht="15.75" customHeight="1">
      <c r="G3" s="63"/>
    </row>
    <row r="4" spans="1:13" s="79" customFormat="1" ht="44.25" customHeight="1">
      <c r="A4" s="84"/>
      <c r="B4" s="82"/>
      <c r="C4" s="83" t="s">
        <v>66</v>
      </c>
      <c r="D4" s="81" t="s">
        <v>65</v>
      </c>
      <c r="E4" s="82" t="s">
        <v>64</v>
      </c>
      <c r="F4" s="81" t="s">
        <v>124</v>
      </c>
      <c r="G4" s="80" t="s">
        <v>63</v>
      </c>
      <c r="H4" s="80" t="s">
        <v>70</v>
      </c>
      <c r="I4" s="82" t="s">
        <v>62</v>
      </c>
      <c r="J4" s="81" t="s">
        <v>61</v>
      </c>
      <c r="K4" s="81" t="s">
        <v>60</v>
      </c>
      <c r="L4" s="81" t="s">
        <v>68</v>
      </c>
      <c r="M4" s="62"/>
    </row>
    <row r="5" spans="1:13" ht="15.75" customHeight="1">
      <c r="A5" s="78"/>
      <c r="B5" s="77"/>
      <c r="C5" s="76">
        <f>TCapitol[[#Totals],[Pressupost net]]</f>
        <v>3408349.9999791663</v>
      </c>
      <c r="D5" s="74">
        <f>ROUND(C5*0.2, 2)</f>
        <v>681670</v>
      </c>
      <c r="E5" s="75">
        <f>ROUND(C5-D5, 2)</f>
        <v>2726680</v>
      </c>
      <c r="F5" s="74">
        <f>ROUND(E5*0.064, 2)</f>
        <v>174507.51999999999</v>
      </c>
      <c r="G5" s="73">
        <f>ROUND(D5+F5, 2)</f>
        <v>856177.52</v>
      </c>
      <c r="H5" s="73">
        <f>ROUND(E5-F5, 2)</f>
        <v>2552172.48</v>
      </c>
      <c r="I5" s="75">
        <f>+H5-L5</f>
        <v>2240072.48</v>
      </c>
      <c r="J5" s="74">
        <f>ROUND(I5*(0.34/1.34), 2)</f>
        <v>568376.6</v>
      </c>
      <c r="K5" s="74">
        <f>+I5-J5</f>
        <v>1671695.88</v>
      </c>
      <c r="L5" s="74">
        <f>'Càlcul pressupost '!P6</f>
        <v>312100</v>
      </c>
    </row>
    <row r="6" spans="1:13" ht="15.75" customHeight="1">
      <c r="A6" s="72"/>
      <c r="G6" s="63"/>
    </row>
    <row r="7" spans="1:13" ht="15.75" customHeight="1">
      <c r="C7" s="71" t="s">
        <v>59</v>
      </c>
      <c r="D7" s="70"/>
      <c r="G7" s="63"/>
    </row>
    <row r="8" spans="1:13" ht="15.75" customHeight="1">
      <c r="C8" s="69" t="s">
        <v>127</v>
      </c>
      <c r="D8" s="93">
        <f>+L5</f>
        <v>312100</v>
      </c>
      <c r="G8" s="63"/>
    </row>
    <row r="9" spans="1:13" ht="15.75" customHeight="1">
      <c r="C9" s="69" t="s">
        <v>58</v>
      </c>
      <c r="D9" s="93">
        <f>+K5</f>
        <v>1671695.88</v>
      </c>
      <c r="G9" s="63"/>
    </row>
    <row r="10" spans="1:13" ht="15.75" customHeight="1">
      <c r="C10" s="69" t="s">
        <v>126</v>
      </c>
      <c r="D10" s="93">
        <f>+J5</f>
        <v>568376.6</v>
      </c>
      <c r="G10" s="63"/>
    </row>
    <row r="11" spans="1:13" ht="15.75" customHeight="1">
      <c r="C11" s="69" t="s">
        <v>57</v>
      </c>
      <c r="D11" s="94">
        <f>+H5</f>
        <v>2552172.48</v>
      </c>
      <c r="G11" s="63"/>
    </row>
    <row r="12" spans="1:13" ht="15.75" customHeight="1">
      <c r="C12" s="68"/>
      <c r="D12" s="95"/>
      <c r="G12" s="63"/>
    </row>
    <row r="13" spans="1:13" ht="15.75" customHeight="1">
      <c r="C13" s="65" t="s">
        <v>56</v>
      </c>
      <c r="D13" s="96"/>
      <c r="G13" s="63"/>
    </row>
    <row r="14" spans="1:13" ht="15.75" customHeight="1">
      <c r="C14" s="67" t="s">
        <v>125</v>
      </c>
      <c r="D14" s="93">
        <f>F5</f>
        <v>174507.51999999999</v>
      </c>
      <c r="G14" s="63"/>
    </row>
    <row r="15" spans="1:13" ht="15.75" customHeight="1">
      <c r="C15" s="67" t="s">
        <v>123</v>
      </c>
      <c r="D15" s="93">
        <f>D5</f>
        <v>681670</v>
      </c>
      <c r="G15" s="63"/>
    </row>
    <row r="16" spans="1:13" ht="15.75" customHeight="1">
      <c r="C16" s="67" t="s">
        <v>55</v>
      </c>
      <c r="D16" s="97">
        <f>G5</f>
        <v>856177.52</v>
      </c>
      <c r="G16" s="63"/>
    </row>
    <row r="17" spans="3:14" ht="15.75" customHeight="1">
      <c r="C17" s="66"/>
      <c r="D17" s="98"/>
      <c r="G17" s="63"/>
    </row>
    <row r="18" spans="3:14" ht="15.75" customHeight="1">
      <c r="C18" s="65" t="s">
        <v>54</v>
      </c>
      <c r="D18" s="99">
        <f>D11+D16</f>
        <v>3408350</v>
      </c>
      <c r="G18" s="63"/>
      <c r="M18" s="64"/>
      <c r="N18" s="64"/>
    </row>
    <row r="19" spans="3:14">
      <c r="G19" s="63"/>
    </row>
    <row r="20" spans="3:14">
      <c r="G20" s="63"/>
    </row>
    <row r="21" spans="3:14">
      <c r="C21" s="137" t="s">
        <v>80</v>
      </c>
      <c r="G21" s="63"/>
    </row>
    <row r="22" spans="3:14" ht="30">
      <c r="C22" s="83" t="s">
        <v>66</v>
      </c>
      <c r="D22" s="81" t="s">
        <v>65</v>
      </c>
      <c r="E22" s="82" t="s">
        <v>64</v>
      </c>
      <c r="F22" s="81" t="s">
        <v>124</v>
      </c>
      <c r="G22" s="80" t="s">
        <v>63</v>
      </c>
      <c r="H22" s="80" t="s">
        <v>70</v>
      </c>
      <c r="I22" s="82" t="s">
        <v>62</v>
      </c>
      <c r="J22" s="81" t="s">
        <v>61</v>
      </c>
      <c r="K22" s="81" t="s">
        <v>60</v>
      </c>
      <c r="L22" s="81" t="s">
        <v>68</v>
      </c>
    </row>
    <row r="23" spans="3:14">
      <c r="C23" s="76">
        <f>TServeiLot1[[#Totals],[Total import net]]</f>
        <v>2857099.9989791666</v>
      </c>
      <c r="D23" s="74">
        <f>ROUND(C23*0.2, 2)</f>
        <v>571420</v>
      </c>
      <c r="E23" s="75">
        <f>ROUND(C23-D23, 2)</f>
        <v>2285680</v>
      </c>
      <c r="F23" s="74">
        <f>ROUND(E23*0.064, 2)</f>
        <v>146283.51999999999</v>
      </c>
      <c r="G23" s="73">
        <f>ROUND(D23+F23, 2)</f>
        <v>717703.52</v>
      </c>
      <c r="H23" s="73">
        <f>ROUND(E23-F23, 2)</f>
        <v>2139396.48</v>
      </c>
      <c r="I23" s="75">
        <f>+H23-L23</f>
        <v>1827296.48</v>
      </c>
      <c r="J23" s="74">
        <f>ROUND(I23*(0.34/1.34), 2)</f>
        <v>463642.39</v>
      </c>
      <c r="K23" s="74">
        <f>+I23-J23</f>
        <v>1363654.0899999999</v>
      </c>
      <c r="L23" s="74">
        <f>'Taules IJ'!L6</f>
        <v>312100</v>
      </c>
    </row>
    <row r="24" spans="3:14">
      <c r="G24" s="63"/>
    </row>
    <row r="25" spans="3:14">
      <c r="C25" s="71" t="s">
        <v>59</v>
      </c>
      <c r="D25" s="70"/>
      <c r="G25" s="63"/>
    </row>
    <row r="26" spans="3:14">
      <c r="C26" s="69" t="s">
        <v>127</v>
      </c>
      <c r="D26" s="93">
        <f>+L23</f>
        <v>312100</v>
      </c>
      <c r="G26" s="63"/>
    </row>
    <row r="27" spans="3:14">
      <c r="C27" s="69" t="s">
        <v>58</v>
      </c>
      <c r="D27" s="93">
        <f>+K23</f>
        <v>1363654.0899999999</v>
      </c>
      <c r="G27" s="63"/>
    </row>
    <row r="28" spans="3:14">
      <c r="C28" s="69" t="s">
        <v>126</v>
      </c>
      <c r="D28" s="93">
        <f>+J23</f>
        <v>463642.39</v>
      </c>
      <c r="G28" s="63"/>
    </row>
    <row r="29" spans="3:14">
      <c r="C29" s="69" t="s">
        <v>57</v>
      </c>
      <c r="D29" s="94">
        <f>+H23</f>
        <v>2139396.48</v>
      </c>
      <c r="G29" s="63"/>
    </row>
    <row r="30" spans="3:14">
      <c r="C30" s="68"/>
      <c r="D30" s="95"/>
      <c r="G30" s="63">
        <f>CalculPressup[[#Totals],[Import Total 
IVA inclòs]]</f>
        <v>3457090.978764792</v>
      </c>
    </row>
    <row r="31" spans="3:14">
      <c r="C31" s="65" t="s">
        <v>56</v>
      </c>
      <c r="D31" s="96"/>
      <c r="G31" s="63"/>
    </row>
    <row r="32" spans="3:14">
      <c r="C32" s="67" t="s">
        <v>125</v>
      </c>
      <c r="D32" s="93">
        <f>F23</f>
        <v>146283.51999999999</v>
      </c>
      <c r="G32" s="63"/>
    </row>
    <row r="33" spans="3:12">
      <c r="C33" s="67" t="s">
        <v>123</v>
      </c>
      <c r="D33" s="93">
        <f>D23</f>
        <v>571420</v>
      </c>
      <c r="G33" s="63"/>
    </row>
    <row r="34" spans="3:12">
      <c r="C34" s="67" t="s">
        <v>55</v>
      </c>
      <c r="D34" s="97">
        <f>G23</f>
        <v>717703.52</v>
      </c>
      <c r="G34" s="63"/>
    </row>
    <row r="35" spans="3:12">
      <c r="C35" s="66"/>
      <c r="D35" s="98"/>
      <c r="G35" s="63"/>
    </row>
    <row r="36" spans="3:12">
      <c r="C36" s="65" t="s">
        <v>54</v>
      </c>
      <c r="D36" s="99">
        <f>D29+D34</f>
        <v>2857100</v>
      </c>
      <c r="G36" s="63"/>
    </row>
    <row r="37" spans="3:12">
      <c r="G37" s="63"/>
    </row>
    <row r="38" spans="3:12">
      <c r="G38" s="63"/>
    </row>
    <row r="39" spans="3:12">
      <c r="G39" s="63"/>
    </row>
    <row r="40" spans="3:12">
      <c r="C40" s="137" t="s">
        <v>92</v>
      </c>
      <c r="G40" s="63"/>
    </row>
    <row r="41" spans="3:12" ht="30">
      <c r="C41" s="83" t="s">
        <v>66</v>
      </c>
      <c r="D41" s="81" t="s">
        <v>65</v>
      </c>
      <c r="E41" s="82" t="s">
        <v>64</v>
      </c>
      <c r="F41" s="81" t="s">
        <v>124</v>
      </c>
      <c r="G41" s="80" t="s">
        <v>63</v>
      </c>
      <c r="H41" s="80" t="s">
        <v>70</v>
      </c>
      <c r="I41" s="82" t="s">
        <v>62</v>
      </c>
      <c r="J41" s="81" t="s">
        <v>61</v>
      </c>
      <c r="K41" s="81" t="s">
        <v>60</v>
      </c>
      <c r="L41" s="81" t="s">
        <v>68</v>
      </c>
    </row>
    <row r="42" spans="3:12">
      <c r="C42" s="76">
        <f>'Càlcul pressupost '!P27</f>
        <v>551250</v>
      </c>
      <c r="D42" s="74">
        <f>ROUND(C42*0.2, 2)</f>
        <v>110250</v>
      </c>
      <c r="E42" s="75">
        <f>ROUND(C42-D42, 2)</f>
        <v>441000</v>
      </c>
      <c r="F42" s="74">
        <f>ROUND(E42*0.064, 2)</f>
        <v>28224</v>
      </c>
      <c r="G42" s="73">
        <f>ROUND(D42+F42, 2)</f>
        <v>138474</v>
      </c>
      <c r="H42" s="73">
        <f>ROUND(E42-F42, 2)</f>
        <v>412776</v>
      </c>
      <c r="I42" s="75">
        <f>+H42-L42</f>
        <v>412776</v>
      </c>
      <c r="J42" s="74">
        <f>ROUND(I42*(0.34/1.34), 2)</f>
        <v>104734.21</v>
      </c>
      <c r="K42" s="74">
        <f>+I42-J42</f>
        <v>308041.78999999998</v>
      </c>
      <c r="L42" s="74">
        <v>0</v>
      </c>
    </row>
    <row r="43" spans="3:12">
      <c r="G43" s="63"/>
    </row>
    <row r="44" spans="3:12">
      <c r="C44" s="71" t="s">
        <v>59</v>
      </c>
      <c r="D44" s="70"/>
      <c r="G44" s="63"/>
    </row>
    <row r="45" spans="3:12">
      <c r="C45" s="69" t="s">
        <v>127</v>
      </c>
      <c r="D45" s="618">
        <f>+L42</f>
        <v>0</v>
      </c>
      <c r="G45" s="63"/>
    </row>
    <row r="46" spans="3:12">
      <c r="C46" s="69" t="s">
        <v>58</v>
      </c>
      <c r="D46" s="618">
        <f>+K42</f>
        <v>308041.78999999998</v>
      </c>
      <c r="G46" s="63"/>
    </row>
    <row r="47" spans="3:12">
      <c r="C47" s="69" t="s">
        <v>126</v>
      </c>
      <c r="D47" s="618">
        <f>+J42</f>
        <v>104734.21</v>
      </c>
      <c r="G47" s="63"/>
    </row>
    <row r="48" spans="3:12">
      <c r="C48" s="69" t="s">
        <v>57</v>
      </c>
      <c r="D48" s="619">
        <f>+H42</f>
        <v>412776</v>
      </c>
      <c r="G48" s="63"/>
    </row>
    <row r="49" spans="3:7">
      <c r="C49" s="68"/>
      <c r="D49" s="95"/>
      <c r="G49" s="63"/>
    </row>
    <row r="50" spans="3:7">
      <c r="C50" s="65" t="s">
        <v>56</v>
      </c>
      <c r="D50" s="96"/>
      <c r="G50" s="63"/>
    </row>
    <row r="51" spans="3:7">
      <c r="C51" s="67" t="s">
        <v>125</v>
      </c>
      <c r="D51" s="93">
        <f>F42</f>
        <v>28224</v>
      </c>
      <c r="G51" s="63"/>
    </row>
    <row r="52" spans="3:7">
      <c r="C52" s="67" t="s">
        <v>123</v>
      </c>
      <c r="D52" s="93">
        <f>D42</f>
        <v>110250</v>
      </c>
      <c r="G52" s="63"/>
    </row>
    <row r="53" spans="3:7">
      <c r="C53" s="67" t="s">
        <v>55</v>
      </c>
      <c r="D53" s="97">
        <f>G42</f>
        <v>138474</v>
      </c>
      <c r="G53" s="63"/>
    </row>
    <row r="54" spans="3:7">
      <c r="C54" s="66"/>
      <c r="D54" s="98"/>
      <c r="G54" s="63"/>
    </row>
    <row r="55" spans="3:7">
      <c r="C55" s="65" t="s">
        <v>54</v>
      </c>
      <c r="D55" s="99">
        <f>D48+D53</f>
        <v>551250</v>
      </c>
      <c r="G55" s="63"/>
    </row>
    <row r="56" spans="3:7">
      <c r="G56" s="63"/>
    </row>
    <row r="57" spans="3:7">
      <c r="G57" s="63"/>
    </row>
    <row r="58" spans="3:7">
      <c r="G58" s="63"/>
    </row>
    <row r="59" spans="3:7">
      <c r="G59" s="63"/>
    </row>
    <row r="60" spans="3:7">
      <c r="G60" s="63"/>
    </row>
    <row r="61" spans="3:7">
      <c r="G61" s="63"/>
    </row>
    <row r="62" spans="3:7">
      <c r="G62" s="63"/>
    </row>
    <row r="63" spans="3:7">
      <c r="G63" s="63"/>
    </row>
    <row r="64" spans="3:7">
      <c r="G64" s="63"/>
    </row>
    <row r="65" spans="7:7">
      <c r="G65" s="63"/>
    </row>
    <row r="66" spans="7:7">
      <c r="G66" s="63"/>
    </row>
    <row r="67" spans="7:7">
      <c r="G67" s="63"/>
    </row>
    <row r="68" spans="7:7">
      <c r="G68" s="63"/>
    </row>
    <row r="69" spans="7:7">
      <c r="G69" s="63"/>
    </row>
    <row r="70" spans="7:7">
      <c r="G70" s="63"/>
    </row>
    <row r="71" spans="7:7">
      <c r="G71" s="63"/>
    </row>
    <row r="72" spans="7:7">
      <c r="G72" s="63"/>
    </row>
    <row r="73" spans="7:7">
      <c r="G73" s="63"/>
    </row>
    <row r="74" spans="7:7">
      <c r="G74" s="63"/>
    </row>
    <row r="75" spans="7:7">
      <c r="G75" s="63"/>
    </row>
    <row r="76" spans="7:7">
      <c r="G76" s="63"/>
    </row>
    <row r="77" spans="7:7">
      <c r="G77" s="63"/>
    </row>
    <row r="78" spans="7:7">
      <c r="G78" s="63"/>
    </row>
    <row r="79" spans="7:7">
      <c r="G79" s="63"/>
    </row>
    <row r="80" spans="7:7">
      <c r="G80" s="63"/>
    </row>
    <row r="81" spans="7:7">
      <c r="G81" s="63"/>
    </row>
    <row r="82" spans="7:7">
      <c r="G82" s="63"/>
    </row>
    <row r="83" spans="7:7">
      <c r="G83" s="63"/>
    </row>
    <row r="84" spans="7:7">
      <c r="G84" s="63"/>
    </row>
    <row r="85" spans="7:7">
      <c r="G85" s="63"/>
    </row>
    <row r="86" spans="7:7">
      <c r="G86" s="63"/>
    </row>
    <row r="87" spans="7:7">
      <c r="G87" s="63"/>
    </row>
    <row r="88" spans="7:7">
      <c r="G88" s="63"/>
    </row>
    <row r="89" spans="7:7">
      <c r="G89" s="63"/>
    </row>
    <row r="90" spans="7:7">
      <c r="G90" s="63"/>
    </row>
    <row r="91" spans="7:7">
      <c r="G91" s="63"/>
    </row>
    <row r="92" spans="7:7">
      <c r="G92" s="63"/>
    </row>
    <row r="93" spans="7:7">
      <c r="G93" s="63"/>
    </row>
    <row r="94" spans="7:7">
      <c r="G94" s="63"/>
    </row>
    <row r="95" spans="7:7">
      <c r="G95" s="63"/>
    </row>
    <row r="96" spans="7:7">
      <c r="G96" s="63"/>
    </row>
    <row r="97" spans="7:7">
      <c r="G97" s="63"/>
    </row>
    <row r="98" spans="7:7">
      <c r="G98" s="63"/>
    </row>
    <row r="99" spans="7:7">
      <c r="G99" s="63"/>
    </row>
    <row r="100" spans="7:7">
      <c r="G100" s="63"/>
    </row>
    <row r="101" spans="7:7">
      <c r="G101" s="63"/>
    </row>
    <row r="102" spans="7:7">
      <c r="G102" s="63"/>
    </row>
    <row r="103" spans="7:7">
      <c r="G103" s="63"/>
    </row>
    <row r="104" spans="7:7">
      <c r="G104" s="63"/>
    </row>
    <row r="105" spans="7:7">
      <c r="G105" s="63"/>
    </row>
    <row r="106" spans="7:7">
      <c r="G106" s="63"/>
    </row>
    <row r="107" spans="7:7">
      <c r="G107" s="63"/>
    </row>
    <row r="108" spans="7:7">
      <c r="G108" s="63"/>
    </row>
    <row r="109" spans="7:7">
      <c r="G109" s="63"/>
    </row>
    <row r="110" spans="7:7">
      <c r="G110" s="63"/>
    </row>
    <row r="111" spans="7:7">
      <c r="G111" s="63"/>
    </row>
    <row r="112" spans="7:7">
      <c r="G112" s="63"/>
    </row>
    <row r="113" spans="7:7">
      <c r="G113" s="63"/>
    </row>
    <row r="114" spans="7:7">
      <c r="G114" s="63"/>
    </row>
    <row r="115" spans="7:7">
      <c r="G115" s="63"/>
    </row>
    <row r="116" spans="7:7">
      <c r="G116" s="63"/>
    </row>
    <row r="117" spans="7:7">
      <c r="G117" s="63"/>
    </row>
    <row r="118" spans="7:7">
      <c r="G118" s="63"/>
    </row>
    <row r="119" spans="7:7">
      <c r="G119" s="63"/>
    </row>
    <row r="120" spans="7:7">
      <c r="G120" s="63"/>
    </row>
    <row r="121" spans="7:7">
      <c r="G121" s="63"/>
    </row>
    <row r="122" spans="7:7">
      <c r="G122" s="63"/>
    </row>
    <row r="123" spans="7:7">
      <c r="G123" s="63"/>
    </row>
    <row r="124" spans="7:7">
      <c r="G124" s="63"/>
    </row>
    <row r="125" spans="7:7">
      <c r="G125" s="63"/>
    </row>
    <row r="126" spans="7:7">
      <c r="G126" s="63"/>
    </row>
    <row r="127" spans="7:7">
      <c r="G127" s="63"/>
    </row>
    <row r="128" spans="7:7">
      <c r="G128" s="63"/>
    </row>
    <row r="129" spans="7:7">
      <c r="G129" s="63"/>
    </row>
    <row r="130" spans="7:7">
      <c r="G130" s="63"/>
    </row>
    <row r="131" spans="7:7">
      <c r="G131" s="63"/>
    </row>
    <row r="132" spans="7:7">
      <c r="G132" s="63"/>
    </row>
    <row r="133" spans="7:7">
      <c r="G133" s="63"/>
    </row>
    <row r="134" spans="7:7">
      <c r="G134" s="63"/>
    </row>
    <row r="135" spans="7:7">
      <c r="G135" s="63"/>
    </row>
    <row r="136" spans="7:7">
      <c r="G136" s="63"/>
    </row>
    <row r="137" spans="7:7">
      <c r="G137" s="63"/>
    </row>
    <row r="138" spans="7:7">
      <c r="G138" s="63"/>
    </row>
    <row r="139" spans="7:7">
      <c r="G139" s="63"/>
    </row>
    <row r="140" spans="7:7">
      <c r="G140" s="63"/>
    </row>
    <row r="141" spans="7:7">
      <c r="G141" s="63"/>
    </row>
    <row r="142" spans="7:7">
      <c r="G142" s="63"/>
    </row>
    <row r="143" spans="7:7">
      <c r="G143" s="63"/>
    </row>
    <row r="144" spans="7:7">
      <c r="G144" s="63"/>
    </row>
    <row r="145" spans="7:7">
      <c r="G145" s="63"/>
    </row>
    <row r="146" spans="7:7">
      <c r="G146" s="63"/>
    </row>
    <row r="147" spans="7:7">
      <c r="G147" s="63"/>
    </row>
    <row r="148" spans="7:7">
      <c r="G148" s="63"/>
    </row>
    <row r="149" spans="7:7">
      <c r="G149" s="63"/>
    </row>
    <row r="150" spans="7:7">
      <c r="G150" s="63"/>
    </row>
    <row r="151" spans="7:7">
      <c r="G151" s="63"/>
    </row>
    <row r="152" spans="7:7">
      <c r="G152" s="63"/>
    </row>
    <row r="153" spans="7:7">
      <c r="G153" s="63"/>
    </row>
    <row r="154" spans="7:7">
      <c r="G154" s="63"/>
    </row>
    <row r="155" spans="7:7">
      <c r="G155" s="63"/>
    </row>
    <row r="156" spans="7:7">
      <c r="G156" s="63"/>
    </row>
    <row r="157" spans="7:7">
      <c r="G157" s="63"/>
    </row>
    <row r="158" spans="7:7">
      <c r="G158" s="63"/>
    </row>
    <row r="159" spans="7:7">
      <c r="G159" s="63"/>
    </row>
    <row r="160" spans="7:7">
      <c r="G160" s="63"/>
    </row>
    <row r="161" spans="7:7">
      <c r="G161" s="63"/>
    </row>
    <row r="162" spans="7:7">
      <c r="G162" s="63"/>
    </row>
    <row r="163" spans="7:7">
      <c r="G163" s="63"/>
    </row>
    <row r="164" spans="7:7">
      <c r="G164" s="63"/>
    </row>
    <row r="165" spans="7:7">
      <c r="G165" s="63"/>
    </row>
    <row r="166" spans="7:7">
      <c r="G166" s="63"/>
    </row>
    <row r="167" spans="7:7">
      <c r="G167" s="63"/>
    </row>
    <row r="168" spans="7:7">
      <c r="G168" s="63"/>
    </row>
    <row r="169" spans="7:7">
      <c r="G169" s="63"/>
    </row>
    <row r="170" spans="7:7">
      <c r="G170" s="63"/>
    </row>
    <row r="171" spans="7:7">
      <c r="G171" s="63"/>
    </row>
    <row r="172" spans="7:7">
      <c r="G172" s="63"/>
    </row>
    <row r="173" spans="7:7">
      <c r="G173" s="63"/>
    </row>
    <row r="174" spans="7:7">
      <c r="G174" s="63"/>
    </row>
    <row r="175" spans="7:7">
      <c r="G175" s="63"/>
    </row>
    <row r="176" spans="7:7">
      <c r="G176" s="63"/>
    </row>
    <row r="177" spans="7:7">
      <c r="G177" s="63"/>
    </row>
    <row r="178" spans="7:7">
      <c r="G178" s="63"/>
    </row>
    <row r="179" spans="7:7">
      <c r="G179" s="63"/>
    </row>
    <row r="180" spans="7:7">
      <c r="G180" s="63"/>
    </row>
    <row r="181" spans="7:7">
      <c r="G181" s="63"/>
    </row>
    <row r="182" spans="7:7">
      <c r="G182" s="63"/>
    </row>
    <row r="183" spans="7:7">
      <c r="G183" s="63"/>
    </row>
    <row r="184" spans="7:7">
      <c r="G184" s="63"/>
    </row>
    <row r="185" spans="7:7">
      <c r="G185" s="63"/>
    </row>
    <row r="186" spans="7:7">
      <c r="G186" s="63"/>
    </row>
    <row r="187" spans="7:7">
      <c r="G187" s="63"/>
    </row>
    <row r="188" spans="7:7">
      <c r="G188" s="63"/>
    </row>
    <row r="189" spans="7:7">
      <c r="G189" s="63"/>
    </row>
    <row r="190" spans="7:7">
      <c r="G190" s="63"/>
    </row>
    <row r="191" spans="7:7">
      <c r="G191" s="63"/>
    </row>
    <row r="192" spans="7:7">
      <c r="G192" s="63"/>
    </row>
    <row r="193" spans="7:7">
      <c r="G193" s="63"/>
    </row>
    <row r="194" spans="7:7">
      <c r="G194" s="63"/>
    </row>
    <row r="195" spans="7:7">
      <c r="G195" s="63"/>
    </row>
    <row r="196" spans="7:7">
      <c r="G196" s="63"/>
    </row>
    <row r="197" spans="7:7">
      <c r="G197" s="63"/>
    </row>
    <row r="198" spans="7:7">
      <c r="G198" s="63"/>
    </row>
    <row r="199" spans="7:7">
      <c r="G199" s="63"/>
    </row>
    <row r="200" spans="7:7">
      <c r="G200" s="63"/>
    </row>
    <row r="201" spans="7:7">
      <c r="G201" s="63"/>
    </row>
    <row r="202" spans="7:7">
      <c r="G202" s="63"/>
    </row>
    <row r="203" spans="7:7">
      <c r="G203" s="63"/>
    </row>
    <row r="204" spans="7:7">
      <c r="G204" s="63"/>
    </row>
    <row r="205" spans="7:7">
      <c r="G205" s="63"/>
    </row>
    <row r="206" spans="7:7">
      <c r="G206" s="63"/>
    </row>
    <row r="207" spans="7:7">
      <c r="G207" s="63"/>
    </row>
    <row r="208" spans="7:7">
      <c r="G208" s="63"/>
    </row>
    <row r="209" spans="7:7">
      <c r="G209" s="63"/>
    </row>
    <row r="210" spans="7:7">
      <c r="G210" s="63"/>
    </row>
    <row r="211" spans="7:7">
      <c r="G211" s="63"/>
    </row>
    <row r="212" spans="7:7">
      <c r="G212" s="63"/>
    </row>
    <row r="213" spans="7:7">
      <c r="G213" s="63"/>
    </row>
    <row r="214" spans="7:7">
      <c r="G214" s="63"/>
    </row>
    <row r="215" spans="7:7">
      <c r="G215" s="63"/>
    </row>
    <row r="216" spans="7:7">
      <c r="G216" s="63"/>
    </row>
    <row r="217" spans="7:7">
      <c r="G217" s="63"/>
    </row>
    <row r="218" spans="7:7">
      <c r="G218" s="63"/>
    </row>
    <row r="219" spans="7:7">
      <c r="G219" s="63"/>
    </row>
    <row r="220" spans="7:7">
      <c r="G220" s="63"/>
    </row>
    <row r="221" spans="7:7">
      <c r="G221" s="63"/>
    </row>
    <row r="222" spans="7:7">
      <c r="G222" s="63"/>
    </row>
    <row r="223" spans="7:7">
      <c r="G223" s="63"/>
    </row>
    <row r="224" spans="7:7">
      <c r="G224" s="63"/>
    </row>
    <row r="225" spans="7:7">
      <c r="G225" s="63"/>
    </row>
    <row r="226" spans="7:7">
      <c r="G226" s="63"/>
    </row>
    <row r="227" spans="7:7">
      <c r="G227" s="63"/>
    </row>
    <row r="228" spans="7:7">
      <c r="G228" s="63"/>
    </row>
    <row r="229" spans="7:7">
      <c r="G229" s="63"/>
    </row>
    <row r="230" spans="7:7">
      <c r="G230" s="63"/>
    </row>
    <row r="231" spans="7:7">
      <c r="G231" s="63"/>
    </row>
    <row r="232" spans="7:7">
      <c r="G232" s="63"/>
    </row>
    <row r="233" spans="7:7">
      <c r="G233" s="63"/>
    </row>
    <row r="234" spans="7:7">
      <c r="G234" s="63"/>
    </row>
    <row r="235" spans="7:7">
      <c r="G235" s="63"/>
    </row>
    <row r="236" spans="7:7">
      <c r="G236" s="63"/>
    </row>
    <row r="237" spans="7:7">
      <c r="G237" s="63"/>
    </row>
    <row r="238" spans="7:7">
      <c r="G238" s="63"/>
    </row>
    <row r="239" spans="7:7">
      <c r="G239" s="63"/>
    </row>
    <row r="240" spans="7:7">
      <c r="G240" s="63"/>
    </row>
    <row r="241" spans="7:7">
      <c r="G241" s="63"/>
    </row>
    <row r="242" spans="7:7">
      <c r="G242" s="63"/>
    </row>
    <row r="243" spans="7:7">
      <c r="G243" s="63"/>
    </row>
    <row r="244" spans="7:7">
      <c r="G244" s="63"/>
    </row>
    <row r="245" spans="7:7">
      <c r="G245" s="63"/>
    </row>
    <row r="246" spans="7:7">
      <c r="G246" s="63"/>
    </row>
    <row r="247" spans="7:7">
      <c r="G247" s="63"/>
    </row>
    <row r="248" spans="7:7">
      <c r="G248" s="63"/>
    </row>
    <row r="249" spans="7:7">
      <c r="G249" s="63"/>
    </row>
    <row r="250" spans="7:7">
      <c r="G250" s="63"/>
    </row>
    <row r="251" spans="7:7">
      <c r="G251" s="63"/>
    </row>
    <row r="252" spans="7:7">
      <c r="G252" s="63"/>
    </row>
    <row r="253" spans="7:7">
      <c r="G253" s="63"/>
    </row>
    <row r="254" spans="7:7">
      <c r="G254" s="63"/>
    </row>
    <row r="255" spans="7:7">
      <c r="G255" s="63"/>
    </row>
    <row r="256" spans="7:7">
      <c r="G256" s="63"/>
    </row>
    <row r="257" spans="7:7">
      <c r="G257" s="63"/>
    </row>
    <row r="258" spans="7:7">
      <c r="G258" s="63"/>
    </row>
    <row r="259" spans="7:7">
      <c r="G259" s="63"/>
    </row>
    <row r="260" spans="7:7">
      <c r="G260" s="63"/>
    </row>
    <row r="261" spans="7:7">
      <c r="G261" s="63"/>
    </row>
    <row r="262" spans="7:7">
      <c r="G262" s="63"/>
    </row>
    <row r="263" spans="7:7">
      <c r="G263" s="63"/>
    </row>
    <row r="264" spans="7:7">
      <c r="G264" s="63"/>
    </row>
    <row r="265" spans="7:7">
      <c r="G265" s="63"/>
    </row>
    <row r="266" spans="7:7">
      <c r="G266" s="63"/>
    </row>
    <row r="267" spans="7:7">
      <c r="G267" s="63"/>
    </row>
    <row r="268" spans="7:7">
      <c r="G268" s="63"/>
    </row>
    <row r="269" spans="7:7">
      <c r="G269" s="63"/>
    </row>
    <row r="270" spans="7:7">
      <c r="G270" s="63"/>
    </row>
    <row r="271" spans="7:7">
      <c r="G271" s="63"/>
    </row>
    <row r="272" spans="7:7">
      <c r="G272" s="63"/>
    </row>
    <row r="273" spans="7:7">
      <c r="G273" s="63"/>
    </row>
    <row r="274" spans="7:7">
      <c r="G274" s="63"/>
    </row>
    <row r="275" spans="7:7">
      <c r="G275" s="63"/>
    </row>
    <row r="276" spans="7:7">
      <c r="G276" s="63"/>
    </row>
    <row r="277" spans="7:7">
      <c r="G277" s="63"/>
    </row>
    <row r="278" spans="7:7">
      <c r="G278" s="63"/>
    </row>
    <row r="279" spans="7:7">
      <c r="G279" s="63"/>
    </row>
    <row r="280" spans="7:7">
      <c r="G280" s="63"/>
    </row>
    <row r="281" spans="7:7">
      <c r="G281" s="63"/>
    </row>
    <row r="282" spans="7:7">
      <c r="G282" s="63"/>
    </row>
    <row r="283" spans="7:7">
      <c r="G283" s="63"/>
    </row>
    <row r="284" spans="7:7">
      <c r="G284" s="63"/>
    </row>
    <row r="285" spans="7:7">
      <c r="G285" s="63"/>
    </row>
    <row r="286" spans="7:7">
      <c r="G286" s="63"/>
    </row>
    <row r="287" spans="7:7">
      <c r="G287" s="63"/>
    </row>
    <row r="288" spans="7:7">
      <c r="G288" s="63"/>
    </row>
    <row r="289" spans="7:7">
      <c r="G289" s="63"/>
    </row>
    <row r="290" spans="7:7">
      <c r="G290" s="63"/>
    </row>
    <row r="291" spans="7:7">
      <c r="G291" s="63"/>
    </row>
    <row r="292" spans="7:7">
      <c r="G292" s="63"/>
    </row>
    <row r="293" spans="7:7">
      <c r="G293" s="63"/>
    </row>
    <row r="294" spans="7:7">
      <c r="G294" s="63"/>
    </row>
    <row r="295" spans="7:7">
      <c r="G295" s="63"/>
    </row>
    <row r="296" spans="7:7">
      <c r="G296" s="63"/>
    </row>
    <row r="297" spans="7:7">
      <c r="G297" s="63"/>
    </row>
    <row r="298" spans="7:7">
      <c r="G298" s="63"/>
    </row>
    <row r="299" spans="7:7">
      <c r="G299" s="63"/>
    </row>
    <row r="300" spans="7:7">
      <c r="G300" s="63"/>
    </row>
    <row r="301" spans="7:7">
      <c r="G301" s="63"/>
    </row>
    <row r="302" spans="7:7">
      <c r="G302" s="63"/>
    </row>
    <row r="303" spans="7:7">
      <c r="G303" s="63"/>
    </row>
    <row r="304" spans="7:7">
      <c r="G304" s="63"/>
    </row>
    <row r="305" spans="7:7">
      <c r="G305" s="63"/>
    </row>
    <row r="306" spans="7:7">
      <c r="G306" s="63"/>
    </row>
    <row r="307" spans="7:7">
      <c r="G307" s="63"/>
    </row>
    <row r="308" spans="7:7">
      <c r="G308" s="63"/>
    </row>
    <row r="309" spans="7:7">
      <c r="G309" s="63"/>
    </row>
    <row r="310" spans="7:7">
      <c r="G310" s="63"/>
    </row>
    <row r="311" spans="7:7">
      <c r="G311" s="63"/>
    </row>
    <row r="312" spans="7:7">
      <c r="G312" s="63"/>
    </row>
    <row r="313" spans="7:7">
      <c r="G313" s="63"/>
    </row>
    <row r="314" spans="7:7">
      <c r="G314" s="63"/>
    </row>
    <row r="315" spans="7:7">
      <c r="G315" s="63"/>
    </row>
    <row r="316" spans="7:7">
      <c r="G316" s="63"/>
    </row>
    <row r="317" spans="7:7">
      <c r="G317" s="63"/>
    </row>
    <row r="318" spans="7:7">
      <c r="G318" s="63"/>
    </row>
    <row r="319" spans="7:7">
      <c r="G319" s="63"/>
    </row>
    <row r="320" spans="7:7">
      <c r="G320" s="63"/>
    </row>
    <row r="321" spans="7:7">
      <c r="G321" s="63"/>
    </row>
    <row r="322" spans="7:7">
      <c r="G322" s="63"/>
    </row>
    <row r="323" spans="7:7">
      <c r="G323" s="63"/>
    </row>
    <row r="324" spans="7:7">
      <c r="G324" s="63"/>
    </row>
    <row r="325" spans="7:7">
      <c r="G325" s="63"/>
    </row>
    <row r="326" spans="7:7">
      <c r="G326" s="63"/>
    </row>
    <row r="327" spans="7:7">
      <c r="G327" s="63"/>
    </row>
    <row r="328" spans="7:7">
      <c r="G328" s="63"/>
    </row>
    <row r="329" spans="7:7">
      <c r="G329" s="63"/>
    </row>
    <row r="330" spans="7:7">
      <c r="G330" s="63"/>
    </row>
    <row r="331" spans="7:7">
      <c r="G331" s="63"/>
    </row>
    <row r="332" spans="7:7">
      <c r="G332" s="63"/>
    </row>
    <row r="333" spans="7:7">
      <c r="G333" s="63"/>
    </row>
    <row r="334" spans="7:7">
      <c r="G334" s="63"/>
    </row>
    <row r="335" spans="7:7">
      <c r="G335" s="63"/>
    </row>
    <row r="336" spans="7:7">
      <c r="G336" s="63"/>
    </row>
    <row r="337" spans="7:7">
      <c r="G337" s="63"/>
    </row>
    <row r="338" spans="7:7">
      <c r="G338" s="63"/>
    </row>
    <row r="339" spans="7:7">
      <c r="G339" s="63"/>
    </row>
    <row r="340" spans="7:7">
      <c r="G340" s="63"/>
    </row>
    <row r="341" spans="7:7">
      <c r="G341" s="63"/>
    </row>
    <row r="342" spans="7:7">
      <c r="G342" s="63"/>
    </row>
    <row r="343" spans="7:7">
      <c r="G343" s="63"/>
    </row>
    <row r="344" spans="7:7">
      <c r="G344" s="63"/>
    </row>
    <row r="345" spans="7:7">
      <c r="G345" s="63"/>
    </row>
    <row r="346" spans="7:7">
      <c r="G346" s="63"/>
    </row>
    <row r="347" spans="7:7">
      <c r="G347" s="63"/>
    </row>
    <row r="348" spans="7:7">
      <c r="G348" s="63"/>
    </row>
    <row r="349" spans="7:7">
      <c r="G349" s="63"/>
    </row>
    <row r="350" spans="7:7">
      <c r="G350" s="63"/>
    </row>
    <row r="351" spans="7:7">
      <c r="G351" s="63"/>
    </row>
    <row r="352" spans="7:7">
      <c r="G352" s="63"/>
    </row>
    <row r="353" spans="7:7">
      <c r="G353" s="63"/>
    </row>
    <row r="354" spans="7:7">
      <c r="G354" s="63"/>
    </row>
    <row r="355" spans="7:7">
      <c r="G355" s="63"/>
    </row>
    <row r="356" spans="7:7">
      <c r="G356" s="63"/>
    </row>
    <row r="357" spans="7:7">
      <c r="G357" s="63"/>
    </row>
    <row r="358" spans="7:7">
      <c r="G358" s="63"/>
    </row>
    <row r="359" spans="7:7">
      <c r="G359" s="63"/>
    </row>
    <row r="360" spans="7:7">
      <c r="G360" s="63"/>
    </row>
    <row r="361" spans="7:7">
      <c r="G361" s="63"/>
    </row>
    <row r="362" spans="7:7">
      <c r="G362" s="63"/>
    </row>
    <row r="363" spans="7:7">
      <c r="G363" s="63"/>
    </row>
    <row r="364" spans="7:7">
      <c r="G364" s="63"/>
    </row>
    <row r="365" spans="7:7">
      <c r="G365" s="63"/>
    </row>
    <row r="366" spans="7:7">
      <c r="G366" s="63"/>
    </row>
    <row r="367" spans="7:7">
      <c r="G367" s="63"/>
    </row>
    <row r="368" spans="7:7">
      <c r="G368" s="63"/>
    </row>
    <row r="369" spans="7:7">
      <c r="G369" s="63"/>
    </row>
    <row r="370" spans="7:7">
      <c r="G370" s="63"/>
    </row>
    <row r="371" spans="7:7">
      <c r="G371" s="63"/>
    </row>
    <row r="372" spans="7:7">
      <c r="G372" s="63"/>
    </row>
    <row r="373" spans="7:7">
      <c r="G373" s="63"/>
    </row>
    <row r="374" spans="7:7">
      <c r="G374" s="63"/>
    </row>
    <row r="375" spans="7:7">
      <c r="G375" s="63"/>
    </row>
    <row r="376" spans="7:7">
      <c r="G376" s="63"/>
    </row>
    <row r="377" spans="7:7">
      <c r="G377" s="63"/>
    </row>
    <row r="378" spans="7:7">
      <c r="G378" s="63"/>
    </row>
    <row r="379" spans="7:7">
      <c r="G379" s="63"/>
    </row>
    <row r="380" spans="7:7">
      <c r="G380" s="63"/>
    </row>
    <row r="381" spans="7:7">
      <c r="G381" s="63"/>
    </row>
    <row r="382" spans="7:7">
      <c r="G382" s="63"/>
    </row>
    <row r="383" spans="7:7">
      <c r="G383" s="63"/>
    </row>
    <row r="384" spans="7:7">
      <c r="G384" s="63"/>
    </row>
    <row r="385" spans="7:7">
      <c r="G385" s="63"/>
    </row>
    <row r="386" spans="7:7">
      <c r="G386" s="63"/>
    </row>
    <row r="387" spans="7:7">
      <c r="G387" s="63"/>
    </row>
    <row r="388" spans="7:7">
      <c r="G388" s="63"/>
    </row>
    <row r="389" spans="7:7">
      <c r="G389" s="63"/>
    </row>
    <row r="390" spans="7:7">
      <c r="G390" s="63"/>
    </row>
    <row r="391" spans="7:7">
      <c r="G391" s="63"/>
    </row>
    <row r="392" spans="7:7">
      <c r="G392" s="63"/>
    </row>
    <row r="393" spans="7:7">
      <c r="G393" s="63"/>
    </row>
    <row r="394" spans="7:7">
      <c r="G394" s="63"/>
    </row>
    <row r="395" spans="7:7">
      <c r="G395" s="63"/>
    </row>
    <row r="396" spans="7:7">
      <c r="G396" s="63"/>
    </row>
    <row r="397" spans="7:7">
      <c r="G397" s="63"/>
    </row>
    <row r="398" spans="7:7">
      <c r="G398" s="63"/>
    </row>
    <row r="399" spans="7:7">
      <c r="G399" s="63"/>
    </row>
    <row r="400" spans="7:7">
      <c r="G400" s="63"/>
    </row>
    <row r="401" spans="7:7">
      <c r="G401" s="63"/>
    </row>
    <row r="402" spans="7:7">
      <c r="G402" s="63"/>
    </row>
    <row r="403" spans="7:7">
      <c r="G403" s="63"/>
    </row>
    <row r="404" spans="7:7">
      <c r="G404" s="63"/>
    </row>
    <row r="405" spans="7:7">
      <c r="G405" s="63"/>
    </row>
    <row r="406" spans="7:7">
      <c r="G406" s="63"/>
    </row>
    <row r="407" spans="7:7">
      <c r="G407" s="63"/>
    </row>
    <row r="408" spans="7:7">
      <c r="G408" s="63"/>
    </row>
    <row r="409" spans="7:7">
      <c r="G409" s="63"/>
    </row>
    <row r="410" spans="7:7">
      <c r="G410" s="63"/>
    </row>
    <row r="411" spans="7:7">
      <c r="G411" s="63"/>
    </row>
    <row r="412" spans="7:7">
      <c r="G412" s="63"/>
    </row>
    <row r="413" spans="7:7">
      <c r="G413" s="63"/>
    </row>
    <row r="414" spans="7:7">
      <c r="G414" s="63"/>
    </row>
    <row r="415" spans="7:7">
      <c r="G415" s="63"/>
    </row>
    <row r="416" spans="7:7">
      <c r="G416" s="63"/>
    </row>
    <row r="417" spans="7:7">
      <c r="G417" s="63"/>
    </row>
    <row r="418" spans="7:7">
      <c r="G418" s="63"/>
    </row>
    <row r="419" spans="7:7">
      <c r="G419" s="63"/>
    </row>
    <row r="420" spans="7:7">
      <c r="G420" s="63"/>
    </row>
    <row r="421" spans="7:7">
      <c r="G421" s="63"/>
    </row>
    <row r="422" spans="7:7">
      <c r="G422" s="63"/>
    </row>
    <row r="423" spans="7:7">
      <c r="G423" s="63"/>
    </row>
    <row r="424" spans="7:7">
      <c r="G424" s="63"/>
    </row>
    <row r="425" spans="7:7">
      <c r="G425" s="63"/>
    </row>
    <row r="426" spans="7:7">
      <c r="G426" s="63"/>
    </row>
    <row r="427" spans="7:7">
      <c r="G427" s="63"/>
    </row>
    <row r="428" spans="7:7">
      <c r="G428" s="63"/>
    </row>
    <row r="429" spans="7:7">
      <c r="G429" s="63"/>
    </row>
    <row r="430" spans="7:7">
      <c r="G430" s="63"/>
    </row>
    <row r="431" spans="7:7">
      <c r="G431" s="63"/>
    </row>
    <row r="432" spans="7:7">
      <c r="G432" s="63"/>
    </row>
    <row r="433" spans="7:7">
      <c r="G433" s="63"/>
    </row>
    <row r="434" spans="7:7">
      <c r="G434" s="63"/>
    </row>
    <row r="435" spans="7:7">
      <c r="G435" s="63"/>
    </row>
    <row r="436" spans="7:7">
      <c r="G436" s="63"/>
    </row>
    <row r="437" spans="7:7">
      <c r="G437" s="63"/>
    </row>
    <row r="438" spans="7:7">
      <c r="G438" s="63"/>
    </row>
    <row r="439" spans="7:7">
      <c r="G439" s="63"/>
    </row>
    <row r="440" spans="7:7">
      <c r="G440" s="63"/>
    </row>
    <row r="441" spans="7:7">
      <c r="G441" s="63"/>
    </row>
    <row r="442" spans="7:7">
      <c r="G442" s="63"/>
    </row>
    <row r="443" spans="7:7">
      <c r="G443" s="63"/>
    </row>
    <row r="444" spans="7:7">
      <c r="G444" s="63"/>
    </row>
    <row r="445" spans="7:7">
      <c r="G445" s="63"/>
    </row>
    <row r="446" spans="7:7">
      <c r="G446" s="63"/>
    </row>
    <row r="447" spans="7:7">
      <c r="G447" s="63"/>
    </row>
    <row r="448" spans="7:7">
      <c r="G448" s="63"/>
    </row>
    <row r="449" spans="7:7">
      <c r="G449" s="63"/>
    </row>
    <row r="450" spans="7:7">
      <c r="G450" s="63"/>
    </row>
    <row r="451" spans="7:7">
      <c r="G451" s="63"/>
    </row>
    <row r="452" spans="7:7">
      <c r="G452" s="63"/>
    </row>
    <row r="453" spans="7:7">
      <c r="G453" s="63"/>
    </row>
    <row r="454" spans="7:7">
      <c r="G454" s="63"/>
    </row>
    <row r="455" spans="7:7">
      <c r="G455" s="63"/>
    </row>
    <row r="456" spans="7:7">
      <c r="G456" s="63"/>
    </row>
    <row r="457" spans="7:7">
      <c r="G457" s="63"/>
    </row>
    <row r="458" spans="7:7">
      <c r="G458" s="63"/>
    </row>
    <row r="459" spans="7:7">
      <c r="G459" s="63"/>
    </row>
    <row r="460" spans="7:7">
      <c r="G460" s="63"/>
    </row>
    <row r="461" spans="7:7">
      <c r="G461" s="63"/>
    </row>
    <row r="462" spans="7:7">
      <c r="G462" s="63"/>
    </row>
    <row r="463" spans="7:7">
      <c r="G463" s="63"/>
    </row>
    <row r="464" spans="7:7">
      <c r="G464" s="63"/>
    </row>
    <row r="465" spans="7:7">
      <c r="G465" s="63"/>
    </row>
    <row r="466" spans="7:7">
      <c r="G466" s="63"/>
    </row>
    <row r="467" spans="7:7">
      <c r="G467" s="63"/>
    </row>
    <row r="468" spans="7:7">
      <c r="G468" s="63"/>
    </row>
    <row r="469" spans="7:7">
      <c r="G469" s="63"/>
    </row>
    <row r="470" spans="7:7">
      <c r="G470" s="63"/>
    </row>
    <row r="471" spans="7:7">
      <c r="G471" s="63"/>
    </row>
    <row r="472" spans="7:7">
      <c r="G472" s="63"/>
    </row>
    <row r="473" spans="7:7">
      <c r="G473" s="63"/>
    </row>
    <row r="474" spans="7:7">
      <c r="G474" s="63"/>
    </row>
    <row r="475" spans="7:7">
      <c r="G475" s="63"/>
    </row>
    <row r="476" spans="7:7">
      <c r="G476" s="63"/>
    </row>
    <row r="477" spans="7:7">
      <c r="G477" s="63"/>
    </row>
    <row r="478" spans="7:7">
      <c r="G478" s="63"/>
    </row>
    <row r="479" spans="7:7">
      <c r="G479" s="63"/>
    </row>
    <row r="480" spans="7:7">
      <c r="G480" s="63"/>
    </row>
    <row r="481" spans="7:7">
      <c r="G481" s="63"/>
    </row>
    <row r="482" spans="7:7">
      <c r="G482" s="63"/>
    </row>
    <row r="483" spans="7:7">
      <c r="G483" s="63"/>
    </row>
    <row r="484" spans="7:7">
      <c r="G484" s="63"/>
    </row>
    <row r="485" spans="7:7">
      <c r="G485" s="63"/>
    </row>
    <row r="486" spans="7:7">
      <c r="G486" s="63"/>
    </row>
    <row r="487" spans="7:7">
      <c r="G487" s="63"/>
    </row>
    <row r="488" spans="7:7">
      <c r="G488" s="63"/>
    </row>
    <row r="489" spans="7:7">
      <c r="G489" s="63"/>
    </row>
    <row r="490" spans="7:7">
      <c r="G490" s="63"/>
    </row>
    <row r="491" spans="7:7">
      <c r="G491" s="63"/>
    </row>
    <row r="492" spans="7:7">
      <c r="G492" s="63"/>
    </row>
    <row r="493" spans="7:7">
      <c r="G493" s="63"/>
    </row>
    <row r="494" spans="7:7">
      <c r="G494" s="63"/>
    </row>
    <row r="495" spans="7:7">
      <c r="G495" s="63"/>
    </row>
    <row r="496" spans="7:7">
      <c r="G496" s="63"/>
    </row>
    <row r="497" spans="7:7">
      <c r="G497" s="63"/>
    </row>
    <row r="498" spans="7:7">
      <c r="G498" s="63"/>
    </row>
    <row r="499" spans="7:7">
      <c r="G499" s="63"/>
    </row>
    <row r="500" spans="7:7">
      <c r="G500" s="63"/>
    </row>
    <row r="501" spans="7:7">
      <c r="G501" s="63"/>
    </row>
    <row r="502" spans="7:7">
      <c r="G502" s="63"/>
    </row>
    <row r="503" spans="7:7">
      <c r="G503" s="63"/>
    </row>
    <row r="504" spans="7:7">
      <c r="G504" s="63"/>
    </row>
    <row r="505" spans="7:7">
      <c r="G505" s="63"/>
    </row>
    <row r="506" spans="7:7">
      <c r="G506" s="63"/>
    </row>
    <row r="507" spans="7:7">
      <c r="G507" s="63"/>
    </row>
    <row r="508" spans="7:7">
      <c r="G508" s="63"/>
    </row>
    <row r="509" spans="7:7">
      <c r="G509" s="63"/>
    </row>
    <row r="510" spans="7:7">
      <c r="G510" s="63"/>
    </row>
    <row r="511" spans="7:7">
      <c r="G511" s="63"/>
    </row>
    <row r="512" spans="7:7">
      <c r="G512" s="63"/>
    </row>
    <row r="513" spans="7:7">
      <c r="G513" s="63"/>
    </row>
    <row r="514" spans="7:7">
      <c r="G514" s="63"/>
    </row>
    <row r="515" spans="7:7">
      <c r="G515" s="63"/>
    </row>
    <row r="516" spans="7:7">
      <c r="G516" s="63"/>
    </row>
    <row r="517" spans="7:7">
      <c r="G517" s="63"/>
    </row>
    <row r="518" spans="7:7">
      <c r="G518" s="63"/>
    </row>
    <row r="519" spans="7:7">
      <c r="G519" s="63"/>
    </row>
    <row r="520" spans="7:7">
      <c r="G520" s="63"/>
    </row>
    <row r="521" spans="7:7">
      <c r="G521" s="63"/>
    </row>
    <row r="522" spans="7:7">
      <c r="G522" s="63"/>
    </row>
    <row r="523" spans="7:7">
      <c r="G523" s="63"/>
    </row>
    <row r="524" spans="7:7">
      <c r="G524" s="63"/>
    </row>
    <row r="525" spans="7:7">
      <c r="G525" s="63"/>
    </row>
    <row r="526" spans="7:7">
      <c r="G526" s="63"/>
    </row>
    <row r="527" spans="7:7">
      <c r="G527" s="63"/>
    </row>
    <row r="528" spans="7:7">
      <c r="G528" s="63"/>
    </row>
    <row r="529" spans="7:7">
      <c r="G529" s="63"/>
    </row>
    <row r="530" spans="7:7">
      <c r="G530" s="63"/>
    </row>
    <row r="531" spans="7:7">
      <c r="G531" s="63"/>
    </row>
    <row r="532" spans="7:7">
      <c r="G532" s="63"/>
    </row>
    <row r="533" spans="7:7">
      <c r="G533" s="63"/>
    </row>
    <row r="534" spans="7:7">
      <c r="G534" s="63"/>
    </row>
    <row r="535" spans="7:7">
      <c r="G535" s="63"/>
    </row>
    <row r="536" spans="7:7">
      <c r="G536" s="63"/>
    </row>
    <row r="537" spans="7:7">
      <c r="G537" s="63"/>
    </row>
    <row r="538" spans="7:7">
      <c r="G538" s="63"/>
    </row>
    <row r="539" spans="7:7">
      <c r="G539" s="63"/>
    </row>
    <row r="540" spans="7:7">
      <c r="G540" s="63"/>
    </row>
    <row r="541" spans="7:7">
      <c r="G541" s="63"/>
    </row>
    <row r="542" spans="7:7">
      <c r="G542" s="63"/>
    </row>
    <row r="543" spans="7:7">
      <c r="G543" s="63"/>
    </row>
    <row r="544" spans="7:7">
      <c r="G544" s="63"/>
    </row>
    <row r="545" spans="7:7">
      <c r="G545" s="63"/>
    </row>
    <row r="546" spans="7:7">
      <c r="G546" s="63"/>
    </row>
    <row r="547" spans="7:7">
      <c r="G547" s="63"/>
    </row>
    <row r="548" spans="7:7">
      <c r="G548" s="63"/>
    </row>
    <row r="549" spans="7:7">
      <c r="G549" s="63"/>
    </row>
    <row r="550" spans="7:7">
      <c r="G550" s="63"/>
    </row>
    <row r="551" spans="7:7">
      <c r="G551" s="63"/>
    </row>
    <row r="552" spans="7:7">
      <c r="G552" s="63"/>
    </row>
    <row r="553" spans="7:7">
      <c r="G553" s="63"/>
    </row>
    <row r="554" spans="7:7">
      <c r="G554" s="63"/>
    </row>
    <row r="555" spans="7:7">
      <c r="G555" s="63"/>
    </row>
    <row r="556" spans="7:7">
      <c r="G556" s="63"/>
    </row>
    <row r="557" spans="7:7">
      <c r="G557" s="63"/>
    </row>
    <row r="558" spans="7:7">
      <c r="G558" s="63"/>
    </row>
    <row r="559" spans="7:7">
      <c r="G559" s="63"/>
    </row>
    <row r="560" spans="7:7">
      <c r="G560" s="63"/>
    </row>
    <row r="561" spans="7:7">
      <c r="G561" s="63"/>
    </row>
    <row r="562" spans="7:7">
      <c r="G562" s="63"/>
    </row>
    <row r="563" spans="7:7">
      <c r="G563" s="63"/>
    </row>
    <row r="564" spans="7:7">
      <c r="G564" s="63"/>
    </row>
    <row r="565" spans="7:7">
      <c r="G565" s="63"/>
    </row>
    <row r="566" spans="7:7">
      <c r="G566" s="63"/>
    </row>
    <row r="567" spans="7:7">
      <c r="G567" s="63"/>
    </row>
    <row r="568" spans="7:7">
      <c r="G568" s="63"/>
    </row>
    <row r="569" spans="7:7">
      <c r="G569" s="63"/>
    </row>
    <row r="570" spans="7:7">
      <c r="G570" s="63"/>
    </row>
    <row r="571" spans="7:7">
      <c r="G571" s="63"/>
    </row>
    <row r="572" spans="7:7">
      <c r="G572" s="63"/>
    </row>
    <row r="573" spans="7:7">
      <c r="G573" s="63"/>
    </row>
    <row r="574" spans="7:7">
      <c r="G574" s="63"/>
    </row>
    <row r="575" spans="7:7">
      <c r="G575" s="63"/>
    </row>
    <row r="576" spans="7:7">
      <c r="G576" s="63"/>
    </row>
    <row r="577" spans="7:7">
      <c r="G577" s="63"/>
    </row>
    <row r="578" spans="7:7">
      <c r="G578" s="63"/>
    </row>
    <row r="579" spans="7:7">
      <c r="G579" s="63"/>
    </row>
    <row r="580" spans="7:7">
      <c r="G580" s="63"/>
    </row>
    <row r="581" spans="7:7">
      <c r="G581" s="63"/>
    </row>
    <row r="582" spans="7:7">
      <c r="G582" s="63"/>
    </row>
    <row r="583" spans="7:7">
      <c r="G583" s="63"/>
    </row>
    <row r="584" spans="7:7">
      <c r="G584" s="63"/>
    </row>
    <row r="585" spans="7:7">
      <c r="G585" s="63"/>
    </row>
    <row r="586" spans="7:7">
      <c r="G586" s="63"/>
    </row>
    <row r="587" spans="7:7">
      <c r="G587" s="63"/>
    </row>
    <row r="588" spans="7:7">
      <c r="G588" s="63"/>
    </row>
    <row r="589" spans="7:7">
      <c r="G589" s="63"/>
    </row>
    <row r="590" spans="7:7">
      <c r="G590" s="63"/>
    </row>
    <row r="591" spans="7:7">
      <c r="G591" s="63"/>
    </row>
    <row r="592" spans="7:7">
      <c r="G592" s="63"/>
    </row>
    <row r="593" spans="7:7">
      <c r="G593" s="63"/>
    </row>
    <row r="594" spans="7:7">
      <c r="G594" s="63"/>
    </row>
    <row r="595" spans="7:7">
      <c r="G595" s="63"/>
    </row>
    <row r="596" spans="7:7">
      <c r="G596" s="63"/>
    </row>
    <row r="597" spans="7:7">
      <c r="G597" s="63"/>
    </row>
    <row r="598" spans="7:7">
      <c r="G598" s="63"/>
    </row>
    <row r="599" spans="7:7">
      <c r="G599" s="63"/>
    </row>
    <row r="600" spans="7:7">
      <c r="G600" s="63"/>
    </row>
    <row r="601" spans="7:7">
      <c r="G601" s="63"/>
    </row>
    <row r="602" spans="7:7">
      <c r="G602" s="63"/>
    </row>
    <row r="603" spans="7:7">
      <c r="G603" s="63"/>
    </row>
    <row r="604" spans="7:7">
      <c r="G604" s="63"/>
    </row>
    <row r="605" spans="7:7">
      <c r="G605" s="63"/>
    </row>
    <row r="606" spans="7:7">
      <c r="G606" s="63"/>
    </row>
    <row r="607" spans="7:7">
      <c r="G607" s="63"/>
    </row>
    <row r="608" spans="7:7">
      <c r="G608" s="63"/>
    </row>
    <row r="609" spans="7:7">
      <c r="G609" s="63"/>
    </row>
    <row r="610" spans="7:7">
      <c r="G610" s="63"/>
    </row>
    <row r="611" spans="7:7">
      <c r="G611" s="63"/>
    </row>
    <row r="612" spans="7:7">
      <c r="G612" s="63"/>
    </row>
    <row r="613" spans="7:7">
      <c r="G613" s="63"/>
    </row>
    <row r="614" spans="7:7">
      <c r="G614" s="63"/>
    </row>
    <row r="615" spans="7:7">
      <c r="G615" s="63"/>
    </row>
    <row r="616" spans="7:7">
      <c r="G616" s="63"/>
    </row>
    <row r="617" spans="7:7">
      <c r="G617" s="63"/>
    </row>
    <row r="618" spans="7:7">
      <c r="G618" s="63"/>
    </row>
    <row r="619" spans="7:7">
      <c r="G619" s="63"/>
    </row>
    <row r="620" spans="7:7">
      <c r="G620" s="63"/>
    </row>
    <row r="621" spans="7:7">
      <c r="G621" s="63"/>
    </row>
    <row r="622" spans="7:7">
      <c r="G622" s="63"/>
    </row>
    <row r="623" spans="7:7">
      <c r="G623" s="63"/>
    </row>
    <row r="624" spans="7:7">
      <c r="G624" s="63"/>
    </row>
    <row r="625" spans="7:7">
      <c r="G625" s="63"/>
    </row>
    <row r="626" spans="7:7">
      <c r="G626" s="63"/>
    </row>
    <row r="627" spans="7:7">
      <c r="G627" s="63"/>
    </row>
    <row r="628" spans="7:7">
      <c r="G628" s="63"/>
    </row>
    <row r="629" spans="7:7">
      <c r="G629" s="63"/>
    </row>
    <row r="630" spans="7:7">
      <c r="G630" s="63"/>
    </row>
    <row r="631" spans="7:7">
      <c r="G631" s="63"/>
    </row>
    <row r="632" spans="7:7">
      <c r="G632" s="63"/>
    </row>
    <row r="633" spans="7:7">
      <c r="G633" s="63"/>
    </row>
    <row r="634" spans="7:7">
      <c r="G634" s="63"/>
    </row>
    <row r="635" spans="7:7">
      <c r="G635" s="63"/>
    </row>
    <row r="636" spans="7:7">
      <c r="G636" s="63"/>
    </row>
    <row r="637" spans="7:7">
      <c r="G637" s="63"/>
    </row>
    <row r="638" spans="7:7">
      <c r="G638" s="63"/>
    </row>
    <row r="639" spans="7:7">
      <c r="G639" s="63"/>
    </row>
    <row r="640" spans="7:7">
      <c r="G640" s="63"/>
    </row>
    <row r="641" spans="7:7">
      <c r="G641" s="63"/>
    </row>
    <row r="642" spans="7:7">
      <c r="G642" s="63"/>
    </row>
    <row r="643" spans="7:7">
      <c r="G643" s="63"/>
    </row>
    <row r="644" spans="7:7">
      <c r="G644" s="63"/>
    </row>
    <row r="645" spans="7:7">
      <c r="G645" s="63"/>
    </row>
    <row r="646" spans="7:7">
      <c r="G646" s="63"/>
    </row>
    <row r="647" spans="7:7">
      <c r="G647" s="63"/>
    </row>
    <row r="648" spans="7:7">
      <c r="G648" s="63"/>
    </row>
    <row r="649" spans="7:7">
      <c r="G649" s="63"/>
    </row>
    <row r="650" spans="7:7">
      <c r="G650" s="63"/>
    </row>
    <row r="651" spans="7:7">
      <c r="G651" s="63"/>
    </row>
    <row r="652" spans="7:7">
      <c r="G652" s="63"/>
    </row>
    <row r="653" spans="7:7">
      <c r="G653" s="63"/>
    </row>
    <row r="654" spans="7:7">
      <c r="G654" s="63"/>
    </row>
    <row r="655" spans="7:7">
      <c r="G655" s="63"/>
    </row>
    <row r="656" spans="7:7">
      <c r="G656" s="63"/>
    </row>
    <row r="657" spans="7:7">
      <c r="G657" s="63"/>
    </row>
    <row r="658" spans="7:7">
      <c r="G658" s="63"/>
    </row>
    <row r="659" spans="7:7">
      <c r="G659" s="63"/>
    </row>
    <row r="660" spans="7:7">
      <c r="G660" s="63"/>
    </row>
    <row r="661" spans="7:7">
      <c r="G661" s="63"/>
    </row>
    <row r="662" spans="7:7">
      <c r="G662" s="63"/>
    </row>
    <row r="663" spans="7:7">
      <c r="G663" s="63"/>
    </row>
    <row r="664" spans="7:7">
      <c r="G664" s="63"/>
    </row>
    <row r="665" spans="7:7">
      <c r="G665" s="63"/>
    </row>
    <row r="666" spans="7:7">
      <c r="G666" s="63"/>
    </row>
    <row r="667" spans="7:7">
      <c r="G667" s="63"/>
    </row>
    <row r="668" spans="7:7">
      <c r="G668" s="63"/>
    </row>
    <row r="669" spans="7:7">
      <c r="G669" s="63"/>
    </row>
    <row r="670" spans="7:7">
      <c r="G670" s="63"/>
    </row>
    <row r="671" spans="7:7">
      <c r="G671" s="63"/>
    </row>
    <row r="672" spans="7:7">
      <c r="G672" s="63"/>
    </row>
    <row r="673" spans="7:7">
      <c r="G673" s="63"/>
    </row>
    <row r="674" spans="7:7">
      <c r="G674" s="63"/>
    </row>
    <row r="675" spans="7:7">
      <c r="G675" s="63"/>
    </row>
    <row r="676" spans="7:7">
      <c r="G676" s="63"/>
    </row>
    <row r="677" spans="7:7">
      <c r="G677" s="63"/>
    </row>
    <row r="678" spans="7:7">
      <c r="G678" s="63"/>
    </row>
    <row r="679" spans="7:7">
      <c r="G679" s="63"/>
    </row>
    <row r="680" spans="7:7">
      <c r="G680" s="63"/>
    </row>
    <row r="681" spans="7:7">
      <c r="G681" s="63"/>
    </row>
    <row r="682" spans="7:7">
      <c r="G682" s="63"/>
    </row>
    <row r="683" spans="7:7">
      <c r="G683" s="63"/>
    </row>
    <row r="684" spans="7:7">
      <c r="G684" s="63"/>
    </row>
    <row r="685" spans="7:7">
      <c r="G685" s="63"/>
    </row>
    <row r="686" spans="7:7">
      <c r="G686" s="63"/>
    </row>
    <row r="687" spans="7:7">
      <c r="G687" s="63"/>
    </row>
    <row r="688" spans="7:7">
      <c r="G688" s="63"/>
    </row>
    <row r="689" spans="7:7">
      <c r="G689" s="63"/>
    </row>
    <row r="690" spans="7:7">
      <c r="G690" s="63"/>
    </row>
    <row r="691" spans="7:7">
      <c r="G691" s="63"/>
    </row>
    <row r="692" spans="7:7">
      <c r="G692" s="63"/>
    </row>
    <row r="693" spans="7:7">
      <c r="G693" s="63"/>
    </row>
    <row r="694" spans="7:7">
      <c r="G694" s="63"/>
    </row>
    <row r="695" spans="7:7">
      <c r="G695" s="63"/>
    </row>
    <row r="696" spans="7:7">
      <c r="G696" s="63"/>
    </row>
    <row r="697" spans="7:7">
      <c r="G697" s="63"/>
    </row>
    <row r="698" spans="7:7">
      <c r="G698" s="63"/>
    </row>
    <row r="699" spans="7:7">
      <c r="G699" s="63"/>
    </row>
    <row r="700" spans="7:7">
      <c r="G700" s="63"/>
    </row>
    <row r="701" spans="7:7">
      <c r="G701" s="63"/>
    </row>
    <row r="702" spans="7:7">
      <c r="G702" s="63"/>
    </row>
    <row r="703" spans="7:7">
      <c r="G703" s="63"/>
    </row>
    <row r="704" spans="7:7">
      <c r="G704" s="63"/>
    </row>
    <row r="705" spans="7:7">
      <c r="G705" s="63"/>
    </row>
    <row r="706" spans="7:7">
      <c r="G706" s="63"/>
    </row>
    <row r="707" spans="7:7">
      <c r="G707" s="63"/>
    </row>
    <row r="708" spans="7:7">
      <c r="G708" s="63"/>
    </row>
    <row r="709" spans="7:7">
      <c r="G709" s="63"/>
    </row>
    <row r="710" spans="7:7">
      <c r="G710" s="63"/>
    </row>
    <row r="711" spans="7:7">
      <c r="G711" s="63"/>
    </row>
    <row r="712" spans="7:7">
      <c r="G712" s="63"/>
    </row>
    <row r="713" spans="7:7">
      <c r="G713" s="63"/>
    </row>
    <row r="714" spans="7:7">
      <c r="G714" s="63"/>
    </row>
    <row r="715" spans="7:7">
      <c r="G715" s="63"/>
    </row>
    <row r="716" spans="7:7">
      <c r="G716" s="63"/>
    </row>
    <row r="717" spans="7:7">
      <c r="G717" s="63"/>
    </row>
    <row r="718" spans="7:7">
      <c r="G718" s="63"/>
    </row>
    <row r="719" spans="7:7">
      <c r="G719" s="63"/>
    </row>
    <row r="720" spans="7:7">
      <c r="G720" s="63"/>
    </row>
    <row r="721" spans="7:7">
      <c r="G721" s="63"/>
    </row>
    <row r="722" spans="7:7">
      <c r="G722" s="63"/>
    </row>
    <row r="723" spans="7:7">
      <c r="G723" s="63"/>
    </row>
    <row r="724" spans="7:7">
      <c r="G724" s="63"/>
    </row>
    <row r="725" spans="7:7">
      <c r="G725" s="63"/>
    </row>
    <row r="726" spans="7:7">
      <c r="G726" s="63"/>
    </row>
    <row r="727" spans="7:7">
      <c r="G727" s="63"/>
    </row>
    <row r="728" spans="7:7">
      <c r="G728" s="63"/>
    </row>
    <row r="729" spans="7:7">
      <c r="G729" s="63"/>
    </row>
    <row r="730" spans="7:7">
      <c r="G730" s="63"/>
    </row>
    <row r="731" spans="7:7">
      <c r="G731" s="63"/>
    </row>
    <row r="732" spans="7:7">
      <c r="G732" s="63"/>
    </row>
    <row r="733" spans="7:7">
      <c r="G733" s="63"/>
    </row>
    <row r="734" spans="7:7">
      <c r="G734" s="63"/>
    </row>
    <row r="735" spans="7:7">
      <c r="G735" s="63"/>
    </row>
    <row r="736" spans="7:7">
      <c r="G736" s="63"/>
    </row>
    <row r="737" spans="7:7">
      <c r="G737" s="63"/>
    </row>
    <row r="738" spans="7:7">
      <c r="G738" s="63"/>
    </row>
    <row r="739" spans="7:7">
      <c r="G739" s="63"/>
    </row>
    <row r="740" spans="7:7">
      <c r="G740" s="63"/>
    </row>
    <row r="741" spans="7:7">
      <c r="G741" s="63"/>
    </row>
    <row r="742" spans="7:7">
      <c r="G742" s="63"/>
    </row>
    <row r="743" spans="7:7">
      <c r="G743" s="63"/>
    </row>
    <row r="744" spans="7:7">
      <c r="G744" s="63"/>
    </row>
    <row r="745" spans="7:7">
      <c r="G745" s="63"/>
    </row>
    <row r="746" spans="7:7">
      <c r="G746" s="63"/>
    </row>
    <row r="747" spans="7:7">
      <c r="G747" s="63"/>
    </row>
    <row r="748" spans="7:7">
      <c r="G748" s="63"/>
    </row>
    <row r="749" spans="7:7">
      <c r="G749" s="63"/>
    </row>
    <row r="750" spans="7:7">
      <c r="G750" s="63"/>
    </row>
    <row r="751" spans="7:7">
      <c r="G751" s="63"/>
    </row>
    <row r="752" spans="7:7">
      <c r="G752" s="63"/>
    </row>
    <row r="753" spans="7:7">
      <c r="G753" s="63"/>
    </row>
    <row r="754" spans="7:7">
      <c r="G754" s="63"/>
    </row>
    <row r="755" spans="7:7">
      <c r="G755" s="63"/>
    </row>
    <row r="756" spans="7:7">
      <c r="G756" s="63"/>
    </row>
    <row r="757" spans="7:7">
      <c r="G757" s="63"/>
    </row>
    <row r="758" spans="7:7">
      <c r="G758" s="63"/>
    </row>
    <row r="759" spans="7:7">
      <c r="G759" s="63"/>
    </row>
    <row r="760" spans="7:7">
      <c r="G760" s="63"/>
    </row>
    <row r="761" spans="7:7">
      <c r="G761" s="63"/>
    </row>
    <row r="762" spans="7:7">
      <c r="G762" s="63"/>
    </row>
    <row r="763" spans="7:7">
      <c r="G763" s="63"/>
    </row>
    <row r="764" spans="7:7">
      <c r="G764" s="63"/>
    </row>
    <row r="765" spans="7:7">
      <c r="G765" s="63"/>
    </row>
    <row r="766" spans="7:7">
      <c r="G766" s="63"/>
    </row>
    <row r="767" spans="7:7">
      <c r="G767" s="63"/>
    </row>
    <row r="768" spans="7:7">
      <c r="G768" s="63"/>
    </row>
    <row r="769" spans="7:7">
      <c r="G769" s="63"/>
    </row>
    <row r="770" spans="7:7">
      <c r="G770" s="63"/>
    </row>
    <row r="771" spans="7:7">
      <c r="G771" s="63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38"/>
  <sheetViews>
    <sheetView workbookViewId="0"/>
  </sheetViews>
  <sheetFormatPr defaultRowHeight="15"/>
  <cols>
    <col min="2" max="2" width="43.140625" customWidth="1"/>
    <col min="3" max="3" width="17.140625" bestFit="1" customWidth="1"/>
    <col min="4" max="4" width="15.85546875" bestFit="1" customWidth="1"/>
    <col min="5" max="5" width="12.7109375" bestFit="1" customWidth="1"/>
  </cols>
  <sheetData>
    <row r="2" spans="2:4" ht="30">
      <c r="B2" s="269" t="s">
        <v>164</v>
      </c>
      <c r="C2" s="270" t="s">
        <v>171</v>
      </c>
      <c r="D2" s="270" t="s">
        <v>172</v>
      </c>
    </row>
    <row r="3" spans="2:4">
      <c r="B3" s="259" t="s">
        <v>168</v>
      </c>
      <c r="C3" s="260">
        <v>1186.29</v>
      </c>
      <c r="D3" s="260">
        <f>Taula6[[#This Row],[cost mensual 1 GB
iva exc]]*12</f>
        <v>14235.48</v>
      </c>
    </row>
    <row r="4" spans="2:4">
      <c r="B4" s="259" t="s">
        <v>175</v>
      </c>
      <c r="C4" s="260">
        <v>1673.16</v>
      </c>
      <c r="D4" s="260">
        <f>Taula6[[#This Row],[cost mensual 1 GB
iva exc]]*12</f>
        <v>20077.920000000002</v>
      </c>
    </row>
    <row r="5" spans="2:4">
      <c r="B5" s="259" t="s">
        <v>165</v>
      </c>
      <c r="C5" s="260">
        <v>400</v>
      </c>
      <c r="D5" s="260">
        <f>Taula6[[#This Row],[cost mensual 1 GB
iva exc]]*12</f>
        <v>4800</v>
      </c>
    </row>
    <row r="6" spans="2:4">
      <c r="B6" s="259" t="s">
        <v>167</v>
      </c>
      <c r="C6" s="261">
        <f>SUM(C3:C5)</f>
        <v>3259.45</v>
      </c>
      <c r="D6" s="261">
        <f>Taula6[[#This Row],[cost mensual 1 GB
iva exc]]*12</f>
        <v>39113.399999999994</v>
      </c>
    </row>
    <row r="7" spans="2:4">
      <c r="B7" s="259" t="s">
        <v>6</v>
      </c>
      <c r="C7" s="263"/>
      <c r="D7" s="262">
        <f>SUBTOTAL(109,Taula6[cost anual 1 GB
iva exc])</f>
        <v>78226.799999999988</v>
      </c>
    </row>
    <row r="8" spans="2:4">
      <c r="B8" s="259"/>
      <c r="C8" s="263"/>
      <c r="D8" s="262"/>
    </row>
    <row r="9" spans="2:4" s="302" customFormat="1">
      <c r="B9" s="100"/>
      <c r="C9" s="516"/>
      <c r="D9" s="517"/>
    </row>
    <row r="10" spans="2:4" ht="30">
      <c r="B10" s="100" t="s">
        <v>227</v>
      </c>
      <c r="C10" s="271" t="s">
        <v>174</v>
      </c>
      <c r="D10" s="271" t="s">
        <v>173</v>
      </c>
    </row>
    <row r="11" spans="2:4" s="302" customFormat="1" ht="30">
      <c r="B11" s="16" t="s">
        <v>226</v>
      </c>
      <c r="C11" s="515">
        <v>161.47999999999999</v>
      </c>
      <c r="D11" s="275">
        <f>C11*12</f>
        <v>1937.7599999999998</v>
      </c>
    </row>
    <row r="12" spans="2:4" s="302" customFormat="1">
      <c r="B12" s="100" t="s">
        <v>260</v>
      </c>
      <c r="C12" s="515">
        <v>73.86</v>
      </c>
      <c r="D12" s="275">
        <f>C12*12</f>
        <v>886.31999999999994</v>
      </c>
    </row>
    <row r="13" spans="2:4" s="302" customFormat="1">
      <c r="B13" t="s">
        <v>6</v>
      </c>
      <c r="C13" s="519">
        <f>SUBTOTAL(109,Taula10[cost mensual 
iva exc])</f>
        <v>235.33999999999997</v>
      </c>
      <c r="D13" s="518">
        <f>SUBTOTAL(109,Taula10[cost anual 
iva exc])</f>
        <v>2824.08</v>
      </c>
    </row>
    <row r="14" spans="2:4" s="302" customFormat="1">
      <c r="C14" s="519"/>
      <c r="D14" s="518"/>
    </row>
    <row r="15" spans="2:4" s="302" customFormat="1">
      <c r="C15" s="519"/>
      <c r="D15" s="518"/>
    </row>
    <row r="16" spans="2:4" s="302" customFormat="1" ht="31.5">
      <c r="B16" s="379" t="s">
        <v>228</v>
      </c>
      <c r="C16" s="271" t="s">
        <v>174</v>
      </c>
      <c r="D16" s="271" t="s">
        <v>173</v>
      </c>
    </row>
    <row r="17" spans="2:7" s="302" customFormat="1">
      <c r="B17" s="272" t="s">
        <v>166</v>
      </c>
      <c r="C17" s="273">
        <f>Taula7[cost anual 
iva exc]/12</f>
        <v>6250</v>
      </c>
      <c r="D17" s="274">
        <f>150000/2</f>
        <v>75000</v>
      </c>
    </row>
    <row r="18" spans="2:7" s="302" customFormat="1">
      <c r="B18" s="272" t="s">
        <v>6</v>
      </c>
      <c r="C18" s="276"/>
      <c r="D18" s="562">
        <f>SUBTOTAL(109,Taula7[cost anual 
iva exc])</f>
        <v>75000</v>
      </c>
    </row>
    <row r="19" spans="2:7" s="302" customFormat="1">
      <c r="C19" s="519"/>
      <c r="D19" s="518"/>
    </row>
    <row r="20" spans="2:7">
      <c r="B20" s="100"/>
      <c r="C20" s="515"/>
      <c r="D20" s="275"/>
    </row>
    <row r="21" spans="2:7" ht="15.75" thickBot="1"/>
    <row r="22" spans="2:7" ht="15.75" thickBot="1">
      <c r="B22" s="264" t="s">
        <v>169</v>
      </c>
      <c r="C22" s="265"/>
      <c r="D22" s="266">
        <f>Taula6[[#Totals],[cost anual 1 GB
iva exc]]+D18+Taula10[[#Totals],[cost anual 
iva exc]]</f>
        <v>156050.87999999998</v>
      </c>
    </row>
    <row r="23" spans="2:7" ht="15.75" thickBot="1"/>
    <row r="24" spans="2:7" ht="15.75" thickBot="1">
      <c r="B24" s="267" t="s">
        <v>170</v>
      </c>
      <c r="C24" s="268"/>
      <c r="D24" s="277">
        <f>D22*2</f>
        <v>312101.75999999995</v>
      </c>
    </row>
    <row r="27" spans="2:7">
      <c r="D27" s="261"/>
    </row>
    <row r="30" spans="2:7">
      <c r="G30">
        <f>CalculPressup[[#Totals],[Import Total 
IVA inclòs]]</f>
        <v>3457090.978764792</v>
      </c>
    </row>
    <row r="34" spans="2:2" ht="15.75">
      <c r="B34" s="514"/>
    </row>
    <row r="35" spans="2:2" ht="15.75">
      <c r="B35" s="514"/>
    </row>
    <row r="38" spans="2:2" ht="15.75">
      <c r="B38" s="514"/>
    </row>
  </sheetData>
  <pageMargins left="0.7" right="0.7" top="0.75" bottom="0.75" header="0.3" footer="0.3"/>
  <pageSetup paperSize="9" orientation="portrait" r:id="rId1"/>
  <legacy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5"/>
  <sheetViews>
    <sheetView workbookViewId="0"/>
  </sheetViews>
  <sheetFormatPr defaultRowHeight="15"/>
  <cols>
    <col min="2" max="2" width="24.140625" customWidth="1"/>
    <col min="3" max="4" width="13.140625" bestFit="1" customWidth="1"/>
    <col min="5" max="5" width="14.7109375" bestFit="1" customWidth="1"/>
    <col min="6" max="6" width="15.7109375" bestFit="1" customWidth="1"/>
    <col min="7" max="7" width="13.140625" bestFit="1" customWidth="1"/>
    <col min="8" max="8" width="14.7109375" bestFit="1" customWidth="1"/>
    <col min="9" max="9" width="13.140625" bestFit="1" customWidth="1"/>
    <col min="11" max="11" width="7.140625" bestFit="1" customWidth="1"/>
    <col min="12" max="15" width="12" bestFit="1" customWidth="1"/>
  </cols>
  <sheetData>
    <row r="1" spans="2:16"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2:16" ht="18.75">
      <c r="D2" s="100"/>
      <c r="E2" s="695"/>
      <c r="F2" s="695"/>
      <c r="G2" s="695"/>
      <c r="H2" s="695"/>
      <c r="I2" s="695"/>
      <c r="J2" s="100"/>
      <c r="K2" s="695"/>
      <c r="L2" s="695"/>
      <c r="M2" s="695"/>
      <c r="N2" s="695"/>
      <c r="O2" s="585"/>
      <c r="P2" s="585"/>
    </row>
    <row r="3" spans="2:16" ht="30">
      <c r="B3" s="493" t="s">
        <v>249</v>
      </c>
      <c r="C3" s="502" t="s">
        <v>215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586"/>
      <c r="P3" s="100"/>
    </row>
    <row r="4" spans="2:16">
      <c r="B4" s="302" t="s">
        <v>254</v>
      </c>
      <c r="C4" s="502">
        <f>E19</f>
        <v>390430</v>
      </c>
      <c r="D4" s="100"/>
      <c r="E4" s="100"/>
      <c r="F4" s="529"/>
      <c r="G4" s="529"/>
      <c r="H4" s="587"/>
      <c r="I4" s="696"/>
      <c r="J4" s="100"/>
      <c r="K4" s="100"/>
      <c r="L4" s="505"/>
      <c r="M4" s="505"/>
      <c r="N4" s="505"/>
      <c r="O4" s="586"/>
      <c r="P4" s="100"/>
    </row>
    <row r="5" spans="2:16" ht="18.75">
      <c r="B5" s="302" t="s">
        <v>255</v>
      </c>
      <c r="C5" s="260">
        <f>C25</f>
        <v>334000</v>
      </c>
      <c r="D5" s="100"/>
      <c r="E5" s="100"/>
      <c r="F5" s="529"/>
      <c r="G5" s="529"/>
      <c r="H5" s="505"/>
      <c r="I5" s="696"/>
      <c r="J5" s="100"/>
      <c r="K5" s="100"/>
      <c r="L5" s="100"/>
      <c r="M5" s="100"/>
      <c r="N5" s="100"/>
      <c r="O5" s="585"/>
      <c r="P5" s="100"/>
    </row>
    <row r="6" spans="2:16" ht="18.75">
      <c r="B6" s="302" t="s">
        <v>256</v>
      </c>
      <c r="C6" s="260">
        <f>D29</f>
        <v>480000</v>
      </c>
      <c r="D6" s="100"/>
      <c r="E6" s="100"/>
      <c r="F6" s="529"/>
      <c r="G6" s="529"/>
      <c r="H6" s="529"/>
      <c r="I6" s="696"/>
      <c r="J6" s="100"/>
      <c r="K6" s="100"/>
      <c r="L6" s="100"/>
      <c r="M6" s="100"/>
      <c r="N6" s="100"/>
      <c r="O6" s="585"/>
      <c r="P6" s="100"/>
    </row>
    <row r="7" spans="2:16" ht="18.75">
      <c r="B7" s="302" t="s">
        <v>257</v>
      </c>
      <c r="C7" s="260">
        <f>E34</f>
        <v>170300</v>
      </c>
      <c r="D7" s="100"/>
      <c r="E7" s="100"/>
      <c r="F7" s="529"/>
      <c r="G7" s="529"/>
      <c r="H7" s="539"/>
      <c r="I7" s="100"/>
      <c r="J7" s="100"/>
      <c r="K7" s="695"/>
      <c r="L7" s="695"/>
      <c r="M7" s="695"/>
      <c r="N7" s="695"/>
      <c r="O7" s="585"/>
      <c r="P7" s="100"/>
    </row>
    <row r="8" spans="2:16" ht="18.75">
      <c r="B8" s="302" t="s">
        <v>258</v>
      </c>
      <c r="C8" s="260">
        <v>200000</v>
      </c>
      <c r="D8" s="100"/>
      <c r="E8" s="100"/>
      <c r="F8" s="529"/>
      <c r="G8" s="529"/>
      <c r="H8" s="529"/>
      <c r="I8" s="100"/>
      <c r="J8" s="100"/>
      <c r="K8" s="100"/>
      <c r="L8" s="100"/>
      <c r="M8" s="100"/>
      <c r="N8" s="100"/>
      <c r="O8" s="585"/>
      <c r="P8" s="100"/>
    </row>
    <row r="9" spans="2:16" ht="18.75">
      <c r="B9" s="302" t="s">
        <v>259</v>
      </c>
      <c r="C9" s="260">
        <f>E47</f>
        <v>348512</v>
      </c>
      <c r="D9" s="100"/>
      <c r="E9" s="588"/>
      <c r="F9" s="589"/>
      <c r="G9" s="589"/>
      <c r="H9" s="589"/>
      <c r="I9" s="100"/>
      <c r="J9" s="100"/>
      <c r="K9" s="100"/>
      <c r="L9" s="505"/>
      <c r="M9" s="505"/>
      <c r="N9" s="505"/>
      <c r="O9" s="585"/>
      <c r="P9" s="100"/>
    </row>
    <row r="10" spans="2:16" ht="18.75">
      <c r="B10" s="302" t="s">
        <v>239</v>
      </c>
      <c r="C10" s="563">
        <f>SUBTOTAL(101,Taula9[Cost any
IVA Exclòs])</f>
        <v>320540.33333333331</v>
      </c>
      <c r="D10" s="100"/>
      <c r="E10" s="100"/>
      <c r="F10" s="100"/>
      <c r="G10" s="100"/>
      <c r="H10" s="100"/>
      <c r="I10" s="505"/>
      <c r="J10" s="100"/>
      <c r="K10" s="100"/>
      <c r="L10" s="100"/>
      <c r="M10" s="100"/>
      <c r="N10" s="100"/>
      <c r="O10" s="585"/>
      <c r="P10" s="100"/>
    </row>
    <row r="11" spans="2:16" ht="16.5" thickBot="1">
      <c r="D11" s="504"/>
      <c r="E11" s="504"/>
      <c r="F11" s="302"/>
      <c r="G11" s="302"/>
    </row>
    <row r="12" spans="2:16" ht="15.75" thickBot="1">
      <c r="B12" s="264" t="s">
        <v>250</v>
      </c>
      <c r="C12" s="546">
        <f>(C4+C5+C6+C9)/4</f>
        <v>388235.5</v>
      </c>
      <c r="D12" s="260"/>
      <c r="E12" s="260"/>
    </row>
    <row r="13" spans="2:16" ht="15.75">
      <c r="B13" s="503"/>
      <c r="C13" s="504"/>
    </row>
    <row r="14" spans="2:16" s="302" customFormat="1" ht="15.75">
      <c r="B14" s="503"/>
      <c r="C14" s="504"/>
    </row>
    <row r="15" spans="2:16" s="302" customFormat="1">
      <c r="B15" s="303"/>
      <c r="C15"/>
      <c r="D15"/>
      <c r="E15"/>
    </row>
    <row r="16" spans="2:16" ht="16.5" thickBot="1">
      <c r="F16" s="504"/>
      <c r="G16" s="569"/>
    </row>
    <row r="17" spans="2:7">
      <c r="B17" s="575" t="s">
        <v>254</v>
      </c>
      <c r="C17" s="571" t="s">
        <v>230</v>
      </c>
      <c r="D17" s="571" t="s">
        <v>231</v>
      </c>
      <c r="E17" s="572" t="s">
        <v>232</v>
      </c>
    </row>
    <row r="18" spans="2:7">
      <c r="B18" s="540" t="s">
        <v>233</v>
      </c>
      <c r="C18" s="525" t="s">
        <v>234</v>
      </c>
      <c r="D18" s="525" t="s">
        <v>235</v>
      </c>
      <c r="E18" s="541" t="s">
        <v>236</v>
      </c>
    </row>
    <row r="19" spans="2:7" ht="15.75" thickBot="1">
      <c r="B19" s="533" t="s">
        <v>237</v>
      </c>
      <c r="C19" s="576">
        <v>390430</v>
      </c>
      <c r="D19" s="576">
        <v>390430</v>
      </c>
      <c r="E19" s="577">
        <v>390430</v>
      </c>
    </row>
    <row r="20" spans="2:7" ht="15.75" thickBot="1">
      <c r="B20" s="520"/>
      <c r="C20" s="520"/>
      <c r="D20" s="520"/>
      <c r="E20" s="520"/>
    </row>
    <row r="21" spans="2:7" ht="15.75" thickBot="1">
      <c r="B21" s="521" t="s">
        <v>238</v>
      </c>
      <c r="C21" s="522"/>
      <c r="D21" s="527">
        <f>C19+D19</f>
        <v>780860</v>
      </c>
      <c r="E21" s="526">
        <f>C19+D19+E19</f>
        <v>1171290</v>
      </c>
    </row>
    <row r="23" spans="2:7" ht="16.5" thickBot="1">
      <c r="B23" s="504"/>
    </row>
    <row r="24" spans="2:7">
      <c r="B24" s="578" t="s">
        <v>255</v>
      </c>
      <c r="C24" s="579" t="s">
        <v>230</v>
      </c>
      <c r="D24" s="580" t="s">
        <v>231</v>
      </c>
    </row>
    <row r="25" spans="2:7" ht="15.75" thickBot="1">
      <c r="B25" s="533" t="s">
        <v>237</v>
      </c>
      <c r="C25" s="697">
        <v>334000</v>
      </c>
      <c r="D25" s="698"/>
    </row>
    <row r="27" spans="2:7" s="302" customFormat="1" ht="15.75" thickBot="1"/>
    <row r="28" spans="2:7" s="302" customFormat="1">
      <c r="B28" s="578" t="s">
        <v>256</v>
      </c>
      <c r="C28" s="579" t="s">
        <v>230</v>
      </c>
      <c r="D28" s="580" t="s">
        <v>231</v>
      </c>
    </row>
    <row r="29" spans="2:7" s="302" customFormat="1" ht="15.75" thickBot="1">
      <c r="B29" s="533" t="s">
        <v>237</v>
      </c>
      <c r="C29" s="583">
        <f>480000</f>
        <v>480000</v>
      </c>
      <c r="D29" s="584">
        <f>480000</f>
        <v>480000</v>
      </c>
    </row>
    <row r="30" spans="2:7">
      <c r="G30">
        <f>CalculPressup[[#Totals],[Import Total 
IVA inclòs]]</f>
        <v>3457090.978764792</v>
      </c>
    </row>
    <row r="31" spans="2:7" ht="15.75" thickBot="1">
      <c r="B31" s="303"/>
    </row>
    <row r="32" spans="2:7">
      <c r="B32" s="570" t="s">
        <v>257</v>
      </c>
      <c r="C32" s="571" t="s">
        <v>230</v>
      </c>
      <c r="D32" s="571" t="s">
        <v>231</v>
      </c>
      <c r="E32" s="572" t="s">
        <v>232</v>
      </c>
    </row>
    <row r="33" spans="2:5">
      <c r="B33" s="540" t="s">
        <v>233</v>
      </c>
      <c r="C33" s="525" t="s">
        <v>234</v>
      </c>
      <c r="D33" s="525" t="s">
        <v>235</v>
      </c>
      <c r="E33" s="541" t="s">
        <v>236</v>
      </c>
    </row>
    <row r="34" spans="2:5" ht="15.75" thickBot="1">
      <c r="B34" s="533" t="s">
        <v>237</v>
      </c>
      <c r="C34" s="573">
        <v>86268</v>
      </c>
      <c r="D34" s="545">
        <v>123500</v>
      </c>
      <c r="E34" s="574">
        <v>170300</v>
      </c>
    </row>
    <row r="35" spans="2:5" ht="15.75" thickBot="1">
      <c r="B35" s="520"/>
      <c r="C35" s="520"/>
      <c r="D35" s="520"/>
      <c r="E35" s="520"/>
    </row>
    <row r="36" spans="2:5" ht="15.75" thickBot="1">
      <c r="B36" s="521" t="s">
        <v>238</v>
      </c>
      <c r="C36" s="522"/>
      <c r="D36" s="523">
        <f>SUM(C32:D32)</f>
        <v>0</v>
      </c>
      <c r="E36" s="524">
        <f>C34+D34+E34</f>
        <v>380068</v>
      </c>
    </row>
    <row r="39" spans="2:5" ht="15.75" thickBot="1"/>
    <row r="40" spans="2:5">
      <c r="B40" s="578" t="s">
        <v>258</v>
      </c>
      <c r="C40" s="579" t="s">
        <v>230</v>
      </c>
      <c r="D40" s="580" t="s">
        <v>231</v>
      </c>
    </row>
    <row r="41" spans="2:5" ht="15.75" thickBot="1">
      <c r="B41" s="533" t="s">
        <v>237</v>
      </c>
      <c r="C41" s="581">
        <v>200000</v>
      </c>
      <c r="D41" s="582">
        <v>200000</v>
      </c>
    </row>
    <row r="44" spans="2:5" ht="15.75" thickBot="1"/>
    <row r="45" spans="2:5">
      <c r="B45" s="570" t="s">
        <v>259</v>
      </c>
      <c r="C45" s="571" t="s">
        <v>230</v>
      </c>
      <c r="D45" s="571" t="s">
        <v>231</v>
      </c>
      <c r="E45" s="572" t="s">
        <v>232</v>
      </c>
    </row>
    <row r="46" spans="2:5">
      <c r="B46" s="540" t="s">
        <v>233</v>
      </c>
      <c r="C46" s="525" t="s">
        <v>234</v>
      </c>
      <c r="D46" s="525" t="s">
        <v>235</v>
      </c>
      <c r="E46" s="541" t="s">
        <v>236</v>
      </c>
    </row>
    <row r="47" spans="2:5" ht="15.75" thickBot="1">
      <c r="B47" s="533" t="s">
        <v>237</v>
      </c>
      <c r="C47" s="542">
        <v>225823</v>
      </c>
      <c r="D47" s="543">
        <v>315320</v>
      </c>
      <c r="E47" s="544">
        <v>348512</v>
      </c>
    </row>
    <row r="48" spans="2:5">
      <c r="B48" s="302"/>
      <c r="E48" s="134"/>
    </row>
    <row r="49" spans="2:5">
      <c r="B49" s="302"/>
      <c r="C49" s="302"/>
      <c r="D49" s="302"/>
      <c r="E49" s="302"/>
    </row>
    <row r="50" spans="2:5">
      <c r="B50" s="302"/>
      <c r="C50" s="302"/>
      <c r="D50" s="302"/>
      <c r="E50" s="302"/>
    </row>
    <row r="51" spans="2:5">
      <c r="B51" s="302"/>
      <c r="C51" s="302"/>
      <c r="D51" s="302"/>
      <c r="E51" s="302"/>
    </row>
    <row r="52" spans="2:5">
      <c r="B52" s="302"/>
      <c r="C52" s="302"/>
      <c r="D52" s="302"/>
      <c r="E52" s="302"/>
    </row>
    <row r="53" spans="2:5">
      <c r="B53" s="302"/>
      <c r="C53" s="302"/>
      <c r="D53" s="302"/>
      <c r="E53" s="302"/>
    </row>
    <row r="54" spans="2:5">
      <c r="B54" s="302"/>
      <c r="C54" s="302"/>
      <c r="D54" s="302"/>
      <c r="E54" s="302"/>
    </row>
    <row r="55" spans="2:5">
      <c r="B55" s="302"/>
      <c r="C55" s="302"/>
      <c r="D55" s="302"/>
      <c r="E55" s="302"/>
    </row>
    <row r="68" spans="2:5">
      <c r="B68" s="303" t="s">
        <v>248</v>
      </c>
    </row>
    <row r="69" spans="2:5" ht="15.75" thickBot="1"/>
    <row r="70" spans="2:5">
      <c r="B70" s="530" t="s">
        <v>240</v>
      </c>
      <c r="C70" s="531" t="s">
        <v>230</v>
      </c>
      <c r="D70" s="531" t="s">
        <v>231</v>
      </c>
      <c r="E70" s="532" t="s">
        <v>232</v>
      </c>
    </row>
    <row r="71" spans="2:5" ht="15.75" thickBot="1">
      <c r="B71" s="534" t="s">
        <v>241</v>
      </c>
      <c r="C71" s="537" t="s">
        <v>242</v>
      </c>
      <c r="D71" s="537" t="s">
        <v>243</v>
      </c>
      <c r="E71" s="538" t="s">
        <v>244</v>
      </c>
    </row>
    <row r="72" spans="2:5" ht="30">
      <c r="B72" s="535" t="s">
        <v>245</v>
      </c>
      <c r="C72" s="689">
        <v>12623</v>
      </c>
      <c r="D72" s="691"/>
      <c r="E72" s="693"/>
    </row>
    <row r="73" spans="2:5" ht="15.75" thickBot="1">
      <c r="B73" s="536" t="s">
        <v>246</v>
      </c>
      <c r="C73" s="690"/>
      <c r="D73" s="692"/>
      <c r="E73" s="694"/>
    </row>
    <row r="74" spans="2:5" ht="30">
      <c r="B74" s="535" t="s">
        <v>245</v>
      </c>
      <c r="C74" s="689"/>
      <c r="D74" s="691">
        <v>66000</v>
      </c>
      <c r="E74" s="693">
        <v>66000</v>
      </c>
    </row>
    <row r="75" spans="2:5" ht="15.75" thickBot="1">
      <c r="B75" s="536" t="s">
        <v>247</v>
      </c>
      <c r="C75" s="690"/>
      <c r="D75" s="692"/>
      <c r="E75" s="694"/>
    </row>
  </sheetData>
  <mergeCells count="11">
    <mergeCell ref="C74:C75"/>
    <mergeCell ref="D74:D75"/>
    <mergeCell ref="E74:E75"/>
    <mergeCell ref="E2:I2"/>
    <mergeCell ref="K2:N2"/>
    <mergeCell ref="C72:C73"/>
    <mergeCell ref="D72:D73"/>
    <mergeCell ref="E72:E73"/>
    <mergeCell ref="K7:N7"/>
    <mergeCell ref="I4:I6"/>
    <mergeCell ref="C25:D25"/>
  </mergeCells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/>
  </sheetViews>
  <sheetFormatPr defaultRowHeight="15"/>
  <cols>
    <col min="3" max="3" width="13.140625" bestFit="1" customWidth="1"/>
  </cols>
  <sheetData>
    <row r="2" spans="2:3" ht="15.75" thickBot="1"/>
    <row r="3" spans="2:3" ht="15.75" thickBot="1">
      <c r="B3" s="699" t="s">
        <v>261</v>
      </c>
      <c r="C3" s="700"/>
    </row>
    <row r="4" spans="2:3">
      <c r="B4" s="564" t="s">
        <v>262</v>
      </c>
      <c r="C4" s="565" t="s">
        <v>263</v>
      </c>
    </row>
    <row r="5" spans="2:3">
      <c r="B5" s="157">
        <v>24</v>
      </c>
      <c r="C5" s="566">
        <v>280000</v>
      </c>
    </row>
    <row r="6" spans="2:3" ht="15.75" thickBot="1">
      <c r="B6" s="567">
        <v>10</v>
      </c>
      <c r="C6" s="568">
        <f>C5/B5*B6</f>
        <v>116666.66666666666</v>
      </c>
    </row>
    <row r="30" spans="7:7">
      <c r="G30">
        <f>CalculPressup[[#Totals],[Import Total 
IVA inclòs]]</f>
        <v>3457090.978764792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Càlcul pressupost </vt:lpstr>
      <vt:lpstr>Perfils</vt:lpstr>
      <vt:lpstr>Taules IJ</vt:lpstr>
      <vt:lpstr>Costos Indirectes</vt:lpstr>
      <vt:lpstr>Infraestructura</vt:lpstr>
      <vt:lpstr>Llicències</vt:lpstr>
      <vt:lpstr>SuportProf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Gordo</dc:creator>
  <cp:lastModifiedBy>Ajuntament de Barcelona</cp:lastModifiedBy>
  <dcterms:created xsi:type="dcterms:W3CDTF">2020-04-20T14:58:25Z</dcterms:created>
  <dcterms:modified xsi:type="dcterms:W3CDTF">2023-02-27T17:18:56Z</dcterms:modified>
</cp:coreProperties>
</file>