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AVI\Nextcloud\SQVAigua\03 CONTRACTACIÓ\Exp 2026-80 Alarma Nau Formiguera 10\"/>
    </mc:Choice>
  </mc:AlternateContent>
  <xr:revisionPtr revIDLastSave="0" documentId="13_ncr:1_{BAD15A35-2982-4CE6-9274-2CD347EF93B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xp80-2026" sheetId="1" r:id="rId1"/>
    <sheet name="Puntuació licitador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2" l="1"/>
  <c r="A36" i="2"/>
  <c r="B35" i="2"/>
  <c r="A35" i="2"/>
  <c r="B34" i="2"/>
  <c r="A34" i="2"/>
  <c r="B33" i="2"/>
  <c r="A33" i="2"/>
  <c r="B24" i="2"/>
  <c r="A24" i="2"/>
  <c r="B23" i="2"/>
  <c r="A23" i="2"/>
  <c r="B22" i="2"/>
  <c r="A22" i="2"/>
  <c r="B21" i="2"/>
  <c r="A21" i="2"/>
  <c r="C18" i="2"/>
  <c r="C16" i="2"/>
  <c r="C17" i="2" s="1"/>
  <c r="C14" i="2"/>
  <c r="C15" i="2" s="1"/>
  <c r="D12" i="2"/>
  <c r="E12" i="2" s="1"/>
  <c r="B12" i="2"/>
  <c r="A12" i="2"/>
  <c r="D11" i="2"/>
  <c r="E11" i="2" s="1"/>
  <c r="B11" i="2"/>
  <c r="A11" i="2"/>
  <c r="D10" i="2"/>
  <c r="E10" i="2" s="1"/>
  <c r="B10" i="2"/>
  <c r="A10" i="2"/>
  <c r="D9" i="2"/>
  <c r="E9" i="2" s="1"/>
  <c r="B9" i="2"/>
  <c r="A9" i="2"/>
  <c r="F6" i="2"/>
  <c r="F5" i="2"/>
  <c r="F4" i="2"/>
  <c r="F3" i="2"/>
  <c r="G17" i="1"/>
  <c r="E17" i="1"/>
  <c r="G16" i="1"/>
  <c r="E16" i="1"/>
  <c r="G15" i="1"/>
  <c r="E15" i="1"/>
  <c r="G14" i="1"/>
  <c r="E14" i="1"/>
  <c r="G13" i="1"/>
  <c r="E13" i="1"/>
  <c r="G12" i="1"/>
  <c r="E12" i="1"/>
  <c r="E18" i="1" s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  <c r="G4" i="1"/>
  <c r="E4" i="1"/>
  <c r="G18" i="1" l="1"/>
  <c r="G19" i="1" s="1"/>
  <c r="G20" i="1" s="1"/>
  <c r="C36" i="2"/>
  <c r="C35" i="2"/>
  <c r="C34" i="2"/>
  <c r="C33" i="2"/>
  <c r="F11" i="2"/>
  <c r="C23" i="2" s="1"/>
  <c r="F12" i="2"/>
  <c r="C24" i="2" s="1"/>
  <c r="F9" i="2"/>
  <c r="C21" i="2" s="1"/>
  <c r="F10" i="2"/>
  <c r="C22" i="2" s="1"/>
  <c r="J5" i="2"/>
  <c r="I5" i="2"/>
  <c r="H5" i="2"/>
  <c r="H6" i="2"/>
  <c r="M4" i="2"/>
  <c r="L4" i="2"/>
  <c r="K4" i="2"/>
  <c r="J4" i="2"/>
  <c r="I4" i="2"/>
  <c r="M3" i="2"/>
  <c r="L3" i="2"/>
  <c r="K3" i="2"/>
  <c r="J3" i="2"/>
  <c r="I3" i="2"/>
  <c r="H3" i="2"/>
  <c r="M6" i="2"/>
  <c r="L6" i="2"/>
  <c r="K6" i="2"/>
  <c r="J6" i="2"/>
  <c r="I6" i="2"/>
  <c r="M5" i="2"/>
  <c r="L5" i="2"/>
  <c r="K5" i="2"/>
  <c r="H4" i="2"/>
  <c r="E19" i="1"/>
  <c r="E20" i="1"/>
  <c r="C26" i="1" s="1"/>
  <c r="C25" i="1"/>
  <c r="D23" i="2" l="1"/>
  <c r="E23" i="2"/>
  <c r="F23" i="2" s="1"/>
  <c r="D35" i="2" s="1"/>
  <c r="E35" i="2" s="1"/>
  <c r="D24" i="2"/>
  <c r="E24" i="2"/>
  <c r="F24" i="2" s="1"/>
  <c r="D36" i="2" s="1"/>
  <c r="E36" i="2" s="1"/>
  <c r="D21" i="2"/>
  <c r="E21" i="2"/>
  <c r="D22" i="2"/>
  <c r="E22" i="2"/>
  <c r="F22" i="2" s="1"/>
  <c r="D34" i="2" s="1"/>
  <c r="E34" i="2" s="1"/>
  <c r="F21" i="2" l="1"/>
  <c r="M22" i="2" l="1"/>
  <c r="M21" i="2"/>
  <c r="M24" i="2"/>
  <c r="L24" i="2"/>
  <c r="K24" i="2"/>
  <c r="J24" i="2"/>
  <c r="I24" i="2"/>
  <c r="H24" i="2"/>
  <c r="M23" i="2"/>
  <c r="L23" i="2"/>
  <c r="K23" i="2"/>
  <c r="J23" i="2"/>
  <c r="I23" i="2"/>
  <c r="H23" i="2"/>
  <c r="L22" i="2"/>
  <c r="K22" i="2"/>
  <c r="J22" i="2"/>
  <c r="I22" i="2"/>
  <c r="H22" i="2"/>
  <c r="L21" i="2"/>
  <c r="K21" i="2"/>
  <c r="J21" i="2"/>
  <c r="I21" i="2"/>
  <c r="H21" i="2"/>
  <c r="D33" i="2"/>
  <c r="E33" i="2" s="1"/>
  <c r="I36" i="2" l="1"/>
  <c r="H36" i="2"/>
  <c r="K35" i="2"/>
  <c r="J35" i="2"/>
  <c r="I35" i="2"/>
  <c r="K34" i="2"/>
  <c r="J34" i="2"/>
  <c r="L34" i="2" s="1"/>
  <c r="I34" i="2"/>
  <c r="H34" i="2"/>
  <c r="J36" i="2"/>
  <c r="K36" i="2"/>
  <c r="H35" i="2"/>
  <c r="K33" i="2"/>
  <c r="J33" i="2"/>
  <c r="L33" i="2" s="1"/>
  <c r="I33" i="2"/>
  <c r="H33" i="2"/>
  <c r="L35" i="2" l="1"/>
  <c r="L36" i="2"/>
</calcChain>
</file>

<file path=xl/sharedStrings.xml><?xml version="1.0" encoding="utf-8"?>
<sst xmlns="http://schemas.openxmlformats.org/spreadsheetml/2006/main" count="84" uniqueCount="53">
  <si>
    <t>Contracte menor del “Subministrament i instal·lació d’un sistema de integral de seguretat de la nau del carrer de Rossend Carrasco i Formiguera, número 10, per l’empresa Serveis Municipals Sant Quirze S.L.U. - SQVaigua”  Exp. 80/2026/SMSQV/CO.”</t>
  </si>
  <si>
    <t>CONCEPTE</t>
  </si>
  <si>
    <t xml:space="preserve">ud </t>
  </si>
  <si>
    <t>Preus licitació (sense IVA)</t>
  </si>
  <si>
    <t>total licitació (sense IVA)</t>
  </si>
  <si>
    <t>Subministrament i instal·lació de central d'alarma via ràdio de 150 zones (banda 868 MHz, xifrat AES128, comunicació Ethernet, WiFi 2,4 GHz i targeta SIM dual 4G, bateria de liti amb autonomia mínima de 12 h).</t>
  </si>
  <si>
    <t>Subministrament i instal·lació de repetidor d'alarma via ràdio, compatible amb la central (connexió Ethernet, WiFi i RF simultànies, fins a 128 perifèrics, bateria recarregable).</t>
  </si>
  <si>
    <t>Subministrament i instal·lació de teclat via ràdio (armat/desarmat amb contrasenya o targeta de proximitat, accessos directes d'alarma mèdica, incendi i emergència).</t>
  </si>
  <si>
    <t>Subministrament i instal·lació de detector PIR amb càmera via ràdio d'interior (abast PIR 12 m, 86°, càmera CMOS 2 Mpx, il·luminació infraroja 12 m, antimascotes ≤18 kg, banda 868 MHz, xifrat AES128, alimentació amb 3 piles CR123A).</t>
  </si>
  <si>
    <t>Subministrament i instal·lació de detector PIR amb càmera via ràdio d'exterior (PIR + microones 24 GHz, abast 15 m, 90°, antimascotes, antimasking, il·luminació infraroja 15 m, IP66, banda 868 MHz, xifrat AES128, alimentació amb 4 piles CR123A).</t>
  </si>
  <si>
    <t>Subministrament i instal·lació de detector magnètic i de vibració via ràdio (contacte reed, vibració en 3 nivells, detecció d'inclinació fins a 25°, entrada cablejada NO/NC/comptatge d'impulsos).</t>
  </si>
  <si>
    <t>Subministrament i instal·lació de sirena via ràdio d'exterior (110 dB, IP65, alimentació per bateria o 12 V CC, comunicació bidireccional, supervisió de temperatura).</t>
  </si>
  <si>
    <t>Subministrament i instal·lació de càmera IP tipus tubular 4 Mpx H265, il·luminació dual LED 20 m / IR 30 m, òptica fixa 3,6 mm, IP67, PIR, micròfon i altaveu, connexió 4G, analítica de vídeo amb IA, amb panell solar, bateria i suport de paret.</t>
  </si>
  <si>
    <t>Subministrament i instal·lació de minidom IP 4 Mpx H265 full color WDR, il·luminació dual LED 30 m / IR 30 m, òptica fixa 2,8 mm, IP67, alimentació PoE, micròfon i altaveu, analítica de vídeo amb IA.</t>
  </si>
  <si>
    <t>Subministrament i instal·lació de caixa de connexions circular d'alumini, compatible amb les càmeres tipus domo, minidom i tubular, amb ancoratge en 3 punts.</t>
  </si>
  <si>
    <t>Subministrament i instal·lació de gravador de vídeo en xarxa (NVR) de 8 canals, 80 Mbps, 4K H265, sortida HDMI, 8 ports PoE, 1 disc dur, compatible amb analítica de vídeo.</t>
  </si>
  <si>
    <t>Subministrament i instal·lació de disc dur SATA de 8 TB especial per a videovigilància (funcionament 24/7, càrrega de treball mínima de 180 TB/any).</t>
  </si>
  <si>
    <t>Mà d'obra de posada en marxa: hores de treball en instal·lació, regulació i equilibrat dels equips, direcció d'obra, proves preliminars i finals, revisió de la documentació de suport al sistema, assistència al control de qualitat i lliurament de la instal·lació.</t>
  </si>
  <si>
    <t>Servei de control de la intrusió i manteniment integral de la instal·lació de seguretat durant 1 any: connexió a central receptora d'alarmes (CRA) autoritzada amb recepció i verificació d'alarmes 24 h els 365 dies de l'any, revisions periòdiques preventives, manteniment correctiu amb mà d'obra i desplaçaments inclosos, substitució de piles i bateries d'ús ordinari i informe anual.</t>
  </si>
  <si>
    <t>IVA 21%</t>
  </si>
  <si>
    <t>TOTAL</t>
  </si>
  <si>
    <t>Omplir nomès les casselles de color groc.</t>
  </si>
  <si>
    <t>Valors estimat del contracte</t>
  </si>
  <si>
    <t xml:space="preserve">pressupost base de licitació </t>
  </si>
  <si>
    <t>TECNICA</t>
  </si>
  <si>
    <t>NIF</t>
  </si>
  <si>
    <t>Empresa</t>
  </si>
  <si>
    <t>Claredat Solució (15 punts)</t>
  </si>
  <si>
    <t>Detall Solució (15 punts)</t>
  </si>
  <si>
    <t>Claredat Pressupost (10 punts)</t>
  </si>
  <si>
    <t>Total</t>
  </si>
  <si>
    <t>B66078999</t>
  </si>
  <si>
    <t xml:space="preserve">Hidrogeologia i Enginyeria del Terreny SLU </t>
  </si>
  <si>
    <t>“Direcció d’Obra i Coordinació de Seguretat i Salut per a l’adequació de 4 pous d’abastament d’aigua a Lliçà d’Amunt per usos municipals de reg i neteges”</t>
  </si>
  <si>
    <t>B62305248</t>
  </si>
  <si>
    <t>Philae Enginyeria de Projectes SL</t>
  </si>
  <si>
    <t>39357103D</t>
  </si>
  <si>
    <t xml:space="preserve">Ramon Camps Rota </t>
  </si>
  <si>
    <t>B61263679</t>
  </si>
  <si>
    <t xml:space="preserve">Estudi d’Enginyeria Vall SLP </t>
  </si>
  <si>
    <t>ECONOMICA</t>
  </si>
  <si>
    <t>Honoraris sense IVA</t>
  </si>
  <si>
    <t>IVA (21%)</t>
  </si>
  <si>
    <t xml:space="preserve">Total </t>
  </si>
  <si>
    <t>Estat</t>
  </si>
  <si>
    <t>1ª mitjana</t>
  </si>
  <si>
    <t>10% superior</t>
  </si>
  <si>
    <t>2ª mitjana</t>
  </si>
  <si>
    <t>10% inferior</t>
  </si>
  <si>
    <t>Ofertes amb baixa presumptament anormal</t>
  </si>
  <si>
    <t>Punts</t>
  </si>
  <si>
    <t>Valorció tècnica</t>
  </si>
  <si>
    <t>Valoració Econòmica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</si>
</sst>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\ &quot;Punts&quot;"/>
    <numFmt numFmtId="165" formatCode="#,##0.00\ &quot;€&quot;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Figtree"/>
    </font>
    <font>
      <sz val="11"/>
      <name val="Figtree"/>
    </font>
    <font>
      <b/>
      <sz val="11"/>
      <color theme="1"/>
      <name val="Aptos Narrow"/>
      <family val="2"/>
      <scheme val="minor"/>
    </font>
    <font>
      <sz val="11"/>
      <color rgb="FF000000"/>
      <name val="Figtree"/>
    </font>
    <font>
      <sz val="11"/>
      <color rgb="FF00000A"/>
      <name val="Figtree"/>
    </font>
    <font>
      <b/>
      <sz val="14"/>
      <color rgb="FF000000"/>
      <name val="Figtree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/>
  </cellStyleXfs>
  <cellXfs count="58">
    <xf numFmtId="0" fontId="0" fillId="0" borderId="0" xfId="0"/>
    <xf numFmtId="0" fontId="6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4" fillId="0" borderId="1" xfId="0" applyFont="1" applyBorder="1" applyAlignment="1">
      <alignment horizontal="center" wrapText="1"/>
    </xf>
    <xf numFmtId="165" fontId="0" fillId="0" borderId="1" xfId="0" applyNumberFormat="1" applyBorder="1"/>
    <xf numFmtId="0" fontId="4" fillId="0" borderId="0" xfId="0" applyFont="1"/>
    <xf numFmtId="2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20" fontId="0" fillId="0" borderId="0" xfId="0" applyNumberFormat="1"/>
    <xf numFmtId="2" fontId="0" fillId="0" borderId="0" xfId="0" applyNumberFormat="1"/>
    <xf numFmtId="0" fontId="5" fillId="0" borderId="1" xfId="0" applyFont="1" applyBorder="1" applyAlignment="1">
      <alignment horizontal="right"/>
    </xf>
    <xf numFmtId="9" fontId="6" fillId="0" borderId="1" xfId="0" applyNumberFormat="1" applyFont="1" applyBorder="1" applyAlignment="1">
      <alignment horizontal="right" vertical="center"/>
    </xf>
    <xf numFmtId="3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0" fillId="0" borderId="9" xfId="0" applyNumberForma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165" fontId="0" fillId="0" borderId="0" xfId="0" applyNumberFormat="1"/>
    <xf numFmtId="44" fontId="3" fillId="4" borderId="1" xfId="1" applyFont="1" applyFill="1" applyBorder="1" applyProtection="1">
      <protection locked="0"/>
    </xf>
    <xf numFmtId="0" fontId="7" fillId="0" borderId="11" xfId="0" applyFont="1" applyBorder="1" applyAlignment="1" applyProtection="1">
      <alignment horizontal="center" wrapText="1"/>
    </xf>
    <xf numFmtId="0" fontId="0" fillId="0" borderId="12" xfId="0" applyBorder="1" applyProtection="1"/>
    <xf numFmtId="0" fontId="0" fillId="0" borderId="13" xfId="0" applyBorder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wrapText="1"/>
    </xf>
    <xf numFmtId="44" fontId="2" fillId="3" borderId="1" xfId="1" applyFont="1" applyFill="1" applyBorder="1" applyAlignment="1" applyProtection="1">
      <alignment horizontal="center" wrapText="1"/>
    </xf>
    <xf numFmtId="44" fontId="2" fillId="4" borderId="1" xfId="1" applyFont="1" applyFill="1" applyBorder="1" applyAlignment="1" applyProtection="1">
      <alignment horizontal="center" wrapText="1"/>
    </xf>
    <xf numFmtId="44" fontId="2" fillId="5" borderId="1" xfId="1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Protection="1"/>
    <xf numFmtId="44" fontId="3" fillId="0" borderId="1" xfId="1" applyFont="1" applyBorder="1" applyProtection="1"/>
    <xf numFmtId="44" fontId="3" fillId="0" borderId="0" xfId="0" applyNumberFormat="1" applyFont="1" applyProtection="1"/>
    <xf numFmtId="4" fontId="3" fillId="0" borderId="0" xfId="0" applyNumberFormat="1" applyFont="1" applyProtection="1"/>
    <xf numFmtId="0" fontId="2" fillId="2" borderId="1" xfId="0" applyFont="1" applyFill="1" applyBorder="1" applyProtection="1"/>
    <xf numFmtId="44" fontId="2" fillId="2" borderId="1" xfId="1" applyFont="1" applyFill="1" applyBorder="1" applyProtection="1"/>
    <xf numFmtId="0" fontId="2" fillId="0" borderId="1" xfId="0" applyFont="1" applyBorder="1" applyAlignment="1" applyProtection="1">
      <alignment horizontal="center" wrapText="1"/>
    </xf>
    <xf numFmtId="44" fontId="3" fillId="0" borderId="1" xfId="0" applyNumberFormat="1" applyFont="1" applyBorder="1" applyProtection="1"/>
    <xf numFmtId="0" fontId="2" fillId="2" borderId="1" xfId="0" applyFont="1" applyFill="1" applyBorder="1" applyAlignment="1" applyProtection="1">
      <alignment horizontal="center" wrapText="1"/>
    </xf>
    <xf numFmtId="44" fontId="2" fillId="2" borderId="1" xfId="0" applyNumberFormat="1" applyFont="1" applyFill="1" applyBorder="1" applyProtection="1"/>
    <xf numFmtId="44" fontId="3" fillId="0" borderId="0" xfId="1" applyFont="1" applyProtection="1"/>
    <xf numFmtId="0" fontId="3" fillId="4" borderId="11" xfId="0" applyFont="1" applyFill="1" applyBorder="1" applyAlignment="1" applyProtection="1">
      <alignment wrapText="1"/>
    </xf>
    <xf numFmtId="0" fontId="5" fillId="0" borderId="0" xfId="0" applyFo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6"/>
  <sheetViews>
    <sheetView showGridLines="0" tabSelected="1" workbookViewId="0">
      <selection activeCell="F4" sqref="F4:F17"/>
    </sheetView>
  </sheetViews>
  <sheetFormatPr defaultColWidth="9.15234375" defaultRowHeight="14.15"/>
  <cols>
    <col min="1" max="1" width="4" style="38" customWidth="1"/>
    <col min="2" max="2" width="47.69140625" style="43" customWidth="1"/>
    <col min="3" max="3" width="21.3046875" style="38" bestFit="1" customWidth="1"/>
    <col min="4" max="4" width="17" style="55" bestFit="1" customWidth="1"/>
    <col min="5" max="5" width="16.15234375" style="55" bestFit="1" customWidth="1"/>
    <col min="6" max="6" width="17" style="55" bestFit="1" customWidth="1"/>
    <col min="7" max="7" width="21.15234375" style="55" bestFit="1" customWidth="1"/>
    <col min="8" max="8" width="3.15234375" style="38" customWidth="1"/>
    <col min="9" max="9" width="9.15234375" style="38" customWidth="1"/>
    <col min="10" max="10" width="14.15234375" style="38" bestFit="1" customWidth="1"/>
    <col min="11" max="11" width="9.15234375" style="38" customWidth="1"/>
    <col min="12" max="16384" width="9.15234375" style="38"/>
  </cols>
  <sheetData>
    <row r="1" spans="2:12" ht="57" customHeight="1" thickBot="1">
      <c r="B1" s="35" t="s">
        <v>0</v>
      </c>
      <c r="C1" s="36"/>
      <c r="D1" s="36"/>
      <c r="E1" s="36"/>
      <c r="F1" s="36"/>
      <c r="G1" s="37"/>
    </row>
    <row r="3" spans="2:12" s="43" customFormat="1" ht="28.5" customHeight="1">
      <c r="B3" s="39" t="s">
        <v>1</v>
      </c>
      <c r="C3" s="39" t="s">
        <v>2</v>
      </c>
      <c r="D3" s="40" t="s">
        <v>3</v>
      </c>
      <c r="E3" s="40" t="s">
        <v>4</v>
      </c>
      <c r="F3" s="41" t="s">
        <v>3</v>
      </c>
      <c r="G3" s="42" t="s">
        <v>4</v>
      </c>
    </row>
    <row r="4" spans="2:12" ht="71.25" customHeight="1">
      <c r="B4" s="44" t="s">
        <v>5</v>
      </c>
      <c r="C4" s="45">
        <v>1</v>
      </c>
      <c r="D4" s="46">
        <v>379.87950000000001</v>
      </c>
      <c r="E4" s="46">
        <f t="shared" ref="E4:E17" si="0">C4*D4</f>
        <v>379.87950000000001</v>
      </c>
      <c r="F4" s="34"/>
      <c r="G4" s="46">
        <f t="shared" ref="G4:G17" si="1">C4*F4</f>
        <v>0</v>
      </c>
      <c r="J4" s="47"/>
    </row>
    <row r="5" spans="2:12" ht="57" customHeight="1">
      <c r="B5" s="44" t="s">
        <v>6</v>
      </c>
      <c r="C5" s="45">
        <v>1</v>
      </c>
      <c r="D5" s="46">
        <v>218.37350000000001</v>
      </c>
      <c r="E5" s="46">
        <f t="shared" si="0"/>
        <v>218.37350000000001</v>
      </c>
      <c r="F5" s="34"/>
      <c r="G5" s="46">
        <f t="shared" si="1"/>
        <v>0</v>
      </c>
      <c r="J5" s="47"/>
    </row>
    <row r="6" spans="2:12" ht="57" customHeight="1">
      <c r="B6" s="44" t="s">
        <v>7</v>
      </c>
      <c r="C6" s="45">
        <v>2</v>
      </c>
      <c r="D6" s="46">
        <v>95.760499999999993</v>
      </c>
      <c r="E6" s="46">
        <f t="shared" si="0"/>
        <v>191.52099999999999</v>
      </c>
      <c r="F6" s="34"/>
      <c r="G6" s="46">
        <f t="shared" si="1"/>
        <v>0</v>
      </c>
      <c r="J6" s="47"/>
    </row>
    <row r="7" spans="2:12" ht="85.5" customHeight="1">
      <c r="B7" s="44" t="s">
        <v>8</v>
      </c>
      <c r="C7" s="45">
        <v>10</v>
      </c>
      <c r="D7" s="46">
        <v>145.57849999999999</v>
      </c>
      <c r="E7" s="46">
        <f t="shared" si="0"/>
        <v>1455.7849999999999</v>
      </c>
      <c r="F7" s="34"/>
      <c r="G7" s="46">
        <f t="shared" si="1"/>
        <v>0</v>
      </c>
      <c r="J7" s="47"/>
    </row>
    <row r="8" spans="2:12" ht="85.5" customHeight="1">
      <c r="B8" s="44" t="s">
        <v>9</v>
      </c>
      <c r="C8" s="45">
        <v>2</v>
      </c>
      <c r="D8" s="46">
        <v>279.78349999999989</v>
      </c>
      <c r="E8" s="46">
        <f t="shared" si="0"/>
        <v>559.56699999999978</v>
      </c>
      <c r="F8" s="34"/>
      <c r="G8" s="46">
        <f t="shared" si="1"/>
        <v>0</v>
      </c>
      <c r="J8" s="47"/>
    </row>
    <row r="9" spans="2:12" ht="72" customHeight="1" thickBot="1">
      <c r="B9" s="44" t="s">
        <v>10</v>
      </c>
      <c r="C9" s="45">
        <v>5</v>
      </c>
      <c r="D9" s="46">
        <v>43.216999999999992</v>
      </c>
      <c r="E9" s="46">
        <f t="shared" si="0"/>
        <v>216.08499999999995</v>
      </c>
      <c r="F9" s="34"/>
      <c r="G9" s="46">
        <f t="shared" si="1"/>
        <v>0</v>
      </c>
      <c r="J9" s="47"/>
    </row>
    <row r="10" spans="2:12" ht="57.75" customHeight="1" thickBot="1">
      <c r="B10" s="44" t="s">
        <v>11</v>
      </c>
      <c r="C10" s="45">
        <v>3</v>
      </c>
      <c r="D10" s="46">
        <v>116.012</v>
      </c>
      <c r="E10" s="46">
        <f t="shared" si="0"/>
        <v>348.036</v>
      </c>
      <c r="F10" s="34"/>
      <c r="G10" s="46">
        <f t="shared" si="1"/>
        <v>0</v>
      </c>
      <c r="J10" s="47"/>
    </row>
    <row r="11" spans="2:12" ht="85.5" customHeight="1">
      <c r="B11" s="44" t="s">
        <v>12</v>
      </c>
      <c r="C11" s="45">
        <v>3</v>
      </c>
      <c r="D11" s="46">
        <v>481.07949999999988</v>
      </c>
      <c r="E11" s="46">
        <f t="shared" si="0"/>
        <v>1443.2384999999997</v>
      </c>
      <c r="F11" s="34"/>
      <c r="G11" s="46">
        <f t="shared" si="1"/>
        <v>0</v>
      </c>
      <c r="J11" s="47"/>
    </row>
    <row r="12" spans="2:12" ht="71.25" customHeight="1">
      <c r="B12" s="44" t="s">
        <v>13</v>
      </c>
      <c r="C12" s="45">
        <v>2</v>
      </c>
      <c r="D12" s="46">
        <v>232.024</v>
      </c>
      <c r="E12" s="46">
        <f t="shared" si="0"/>
        <v>464.048</v>
      </c>
      <c r="F12" s="34"/>
      <c r="G12" s="46">
        <f t="shared" si="1"/>
        <v>0</v>
      </c>
      <c r="J12" s="47"/>
    </row>
    <row r="13" spans="2:12" ht="57" customHeight="1">
      <c r="B13" s="44" t="s">
        <v>14</v>
      </c>
      <c r="C13" s="45">
        <v>2</v>
      </c>
      <c r="D13" s="46">
        <v>17.25</v>
      </c>
      <c r="E13" s="46">
        <f t="shared" si="0"/>
        <v>34.5</v>
      </c>
      <c r="F13" s="34"/>
      <c r="G13" s="46">
        <f t="shared" si="1"/>
        <v>0</v>
      </c>
      <c r="J13" s="47"/>
    </row>
    <row r="14" spans="2:12" ht="57" customHeight="1">
      <c r="B14" s="44" t="s">
        <v>15</v>
      </c>
      <c r="C14" s="45">
        <v>1</v>
      </c>
      <c r="D14" s="46">
        <v>345</v>
      </c>
      <c r="E14" s="46">
        <f t="shared" si="0"/>
        <v>345</v>
      </c>
      <c r="F14" s="34"/>
      <c r="G14" s="46">
        <f t="shared" si="1"/>
        <v>0</v>
      </c>
      <c r="J14" s="47"/>
    </row>
    <row r="15" spans="2:12" ht="57" customHeight="1">
      <c r="B15" s="44" t="s">
        <v>16</v>
      </c>
      <c r="C15" s="45">
        <v>1</v>
      </c>
      <c r="D15" s="46">
        <v>858.95799999999986</v>
      </c>
      <c r="E15" s="46">
        <f t="shared" si="0"/>
        <v>858.95799999999986</v>
      </c>
      <c r="F15" s="34"/>
      <c r="G15" s="46">
        <f t="shared" si="1"/>
        <v>0</v>
      </c>
      <c r="J15" s="47"/>
      <c r="L15" s="48"/>
    </row>
    <row r="16" spans="2:12" ht="85.5" customHeight="1">
      <c r="B16" s="44" t="s">
        <v>17</v>
      </c>
      <c r="C16" s="45">
        <v>1</v>
      </c>
      <c r="D16" s="46">
        <v>1803.2</v>
      </c>
      <c r="E16" s="46">
        <f t="shared" si="0"/>
        <v>1803.2</v>
      </c>
      <c r="F16" s="34"/>
      <c r="G16" s="46">
        <f t="shared" si="1"/>
        <v>0</v>
      </c>
      <c r="J16" s="47"/>
    </row>
    <row r="17" spans="2:12" ht="100" customHeight="1">
      <c r="B17" s="44" t="s">
        <v>18</v>
      </c>
      <c r="C17" s="45">
        <v>1</v>
      </c>
      <c r="D17" s="46">
        <v>500</v>
      </c>
      <c r="E17" s="46">
        <f t="shared" si="0"/>
        <v>500</v>
      </c>
      <c r="F17" s="34"/>
      <c r="G17" s="46">
        <f t="shared" si="1"/>
        <v>0</v>
      </c>
    </row>
    <row r="18" spans="2:12">
      <c r="B18" s="39"/>
      <c r="C18" s="49"/>
      <c r="D18" s="50"/>
      <c r="E18" s="50">
        <f>SUM(E4:E17)</f>
        <v>8818.191499999999</v>
      </c>
      <c r="F18" s="50"/>
      <c r="G18" s="50">
        <f>SUM(G4:G17)</f>
        <v>0</v>
      </c>
      <c r="L18" s="48"/>
    </row>
    <row r="19" spans="2:12">
      <c r="D19" s="51" t="s">
        <v>19</v>
      </c>
      <c r="E19" s="52">
        <f>E18*0.21</f>
        <v>1851.8202149999997</v>
      </c>
      <c r="F19" s="51" t="s">
        <v>19</v>
      </c>
      <c r="G19" s="52">
        <f>G18*0.21</f>
        <v>0</v>
      </c>
    </row>
    <row r="20" spans="2:12" ht="14.6" thickBot="1">
      <c r="D20" s="53" t="s">
        <v>20</v>
      </c>
      <c r="E20" s="54">
        <f>E18+E19</f>
        <v>10670.011714999999</v>
      </c>
      <c r="F20" s="53" t="s">
        <v>20</v>
      </c>
      <c r="G20" s="42">
        <f>G18+G19</f>
        <v>0</v>
      </c>
    </row>
    <row r="21" spans="2:12" ht="15" customHeight="1" thickBot="1">
      <c r="L21" s="48"/>
    </row>
    <row r="22" spans="2:12" ht="15" customHeight="1">
      <c r="B22" s="56" t="s">
        <v>21</v>
      </c>
    </row>
    <row r="25" spans="2:12">
      <c r="B25" s="55" t="s">
        <v>22</v>
      </c>
      <c r="C25" s="47">
        <f>E18</f>
        <v>8818.191499999999</v>
      </c>
    </row>
    <row r="26" spans="2:12">
      <c r="B26" s="57" t="s">
        <v>23</v>
      </c>
      <c r="C26" s="47">
        <f>E20</f>
        <v>10670.011714999999</v>
      </c>
    </row>
  </sheetData>
  <sheetProtection algorithmName="SHA-512" hashValue="YLp/JbRqR0WKarLsHULHrsAeclbCWlSMQmWW5JN9/YqnsE0DfggvyOYF6JhAffnvFsbl96xurasiZOvuBFlczA==" saltValue="J4HNYmz3Hzzp6FtZKrkaWA==" spinCount="100000" sheet="1" objects="1" scenarios="1"/>
  <mergeCells count="1">
    <mergeCell ref="B1:G1"/>
  </mergeCells>
  <printOptions horizontalCentered="1" verticalCentered="1"/>
  <pageMargins left="0.39370078740157483" right="0.39370078740157483" top="1.181102362204725" bottom="0.74803149606299213" header="1.181102362204725" footer="0.31496062992125978"/>
  <pageSetup paperSize="9" scale="51" orientation="landscape"/>
  <headerFooter>
    <oddHeader>&amp;C&amp;"Figtree,Cursiva"&amp;22 Ajuts ACA - 2023&amp;R&amp;F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6"/>
  <sheetViews>
    <sheetView zoomScaleNormal="100" workbookViewId="0">
      <selection activeCell="H32" sqref="H32:L36"/>
    </sheetView>
  </sheetViews>
  <sheetFormatPr defaultColWidth="11.3828125" defaultRowHeight="14.6"/>
  <cols>
    <col min="2" max="2" width="39.84375" bestFit="1" customWidth="1"/>
    <col min="3" max="6" width="10.69140625" customWidth="1"/>
    <col min="9" max="9" width="39.84375" bestFit="1" customWidth="1"/>
    <col min="10" max="13" width="10.69140625" customWidth="1"/>
  </cols>
  <sheetData>
    <row r="1" spans="1:21" ht="15.75" customHeight="1" thickBot="1">
      <c r="A1" s="9" t="s">
        <v>24</v>
      </c>
      <c r="H1" s="9"/>
    </row>
    <row r="2" spans="1:21" ht="60" customHeight="1">
      <c r="A2" s="3" t="s">
        <v>25</v>
      </c>
      <c r="B2" s="3" t="s">
        <v>26</v>
      </c>
      <c r="C2" s="7" t="s">
        <v>27</v>
      </c>
      <c r="D2" s="7" t="s">
        <v>28</v>
      </c>
      <c r="E2" s="7" t="s">
        <v>29</v>
      </c>
      <c r="F2" s="3" t="s">
        <v>30</v>
      </c>
      <c r="H2" s="28" t="s">
        <v>25</v>
      </c>
      <c r="I2" s="29" t="s">
        <v>26</v>
      </c>
      <c r="J2" s="30" t="s">
        <v>27</v>
      </c>
      <c r="K2" s="30" t="s">
        <v>28</v>
      </c>
      <c r="L2" s="30" t="s">
        <v>29</v>
      </c>
      <c r="M2" s="31" t="s">
        <v>30</v>
      </c>
    </row>
    <row r="3" spans="1:21" ht="28.5" customHeight="1">
      <c r="A3" s="2" t="s">
        <v>31</v>
      </c>
      <c r="B3" s="4" t="s">
        <v>32</v>
      </c>
      <c r="C3" s="5">
        <v>3</v>
      </c>
      <c r="D3" s="5">
        <v>3</v>
      </c>
      <c r="E3" s="5">
        <v>8</v>
      </c>
      <c r="F3" s="6">
        <f>SUM(C3:E3)</f>
        <v>14</v>
      </c>
      <c r="G3" s="20">
        <v>1</v>
      </c>
      <c r="H3" s="21" t="str">
        <f>_xlfn.XLOOKUP(LARGE($F$3:$F$6,$G3),$F$3:$F$6,$A$3:$A$6,0,0,1)</f>
        <v>B62305248</v>
      </c>
      <c r="I3" s="12" t="str">
        <f>_xlfn.XLOOKUP(LARGE($F$3:$F$6,$G3),$F$3:$F$6,$B$3:$B$6,0,0,1)</f>
        <v>Philae Enginyeria de Projectes SL</v>
      </c>
      <c r="J3" s="5">
        <f>_xlfn.XLOOKUP(LARGE($F$3:$F$6,$G3),$F$3:$F$6,$C$3:$C$6,0,0,1)</f>
        <v>7</v>
      </c>
      <c r="K3" s="5">
        <f>_xlfn.XLOOKUP(LARGE($F$3:$F$6,$G3),$F$3:$F$6,$D$3:$D$6,0,0,1)</f>
        <v>7</v>
      </c>
      <c r="L3" s="5">
        <f>_xlfn.XLOOKUP(LARGE($F$3:$F$6,$G3),$F$3:$F$6,$E$3:$E$6,0,0,1)</f>
        <v>8</v>
      </c>
      <c r="M3" s="22">
        <f>_xlfn.XLOOKUP(LARGE($F$3:$F$6,$G3),$F$3:$F$6,$F$3:$F$6,0,0,1)</f>
        <v>22</v>
      </c>
      <c r="U3" t="s">
        <v>33</v>
      </c>
    </row>
    <row r="4" spans="1:21" ht="28.5" customHeight="1">
      <c r="A4" s="2" t="s">
        <v>34</v>
      </c>
      <c r="B4" s="4" t="s">
        <v>35</v>
      </c>
      <c r="C4" s="5">
        <v>7</v>
      </c>
      <c r="D4" s="5">
        <v>7</v>
      </c>
      <c r="E4" s="5">
        <v>8</v>
      </c>
      <c r="F4" s="6">
        <f>SUM(C4:E4)</f>
        <v>22</v>
      </c>
      <c r="G4" s="20">
        <v>2</v>
      </c>
      <c r="H4" s="21" t="str">
        <f>_xlfn.XLOOKUP(LARGE($F$3:$F$6,$G4),$F$3:$F$6,$A$3:$A$6,0,0,1)</f>
        <v>B61263679</v>
      </c>
      <c r="I4" s="12" t="str">
        <f>_xlfn.XLOOKUP(LARGE($F$3:$F$6,$G4),$F$3:$F$6,$B$3:$B$6,0,0,1)</f>
        <v xml:space="preserve">Estudi d’Enginyeria Vall SLP </v>
      </c>
      <c r="J4" s="5">
        <f>_xlfn.XLOOKUP(LARGE($F$3:$F$6,$G4),$F$3:$F$6,$C$3:$C$6,0,0,1)</f>
        <v>6</v>
      </c>
      <c r="K4" s="5">
        <f>_xlfn.XLOOKUP(LARGE($F$3:$F$6,$G4),$F$3:$F$6,$D$3:$D$6,0,0,1)</f>
        <v>7</v>
      </c>
      <c r="L4" s="5">
        <f>_xlfn.XLOOKUP(LARGE($F$3:$F$6,$G4),$F$3:$F$6,$E$3:$E$6,0,0,1)</f>
        <v>8</v>
      </c>
      <c r="M4" s="22">
        <f>_xlfn.XLOOKUP(LARGE($F$3:$F$6,$G4),$F$3:$F$6,$F$3:$F$6,0,0,1)</f>
        <v>21</v>
      </c>
    </row>
    <row r="5" spans="1:21" ht="28.5" customHeight="1">
      <c r="A5" s="2" t="s">
        <v>36</v>
      </c>
      <c r="B5" s="4" t="s">
        <v>37</v>
      </c>
      <c r="C5" s="5">
        <v>5</v>
      </c>
      <c r="D5" s="5">
        <v>4</v>
      </c>
      <c r="E5" s="5">
        <v>8</v>
      </c>
      <c r="F5" s="6">
        <f>SUM(C5:E5)</f>
        <v>17</v>
      </c>
      <c r="G5" s="20">
        <v>3</v>
      </c>
      <c r="H5" s="21" t="str">
        <f>_xlfn.XLOOKUP(LARGE($F$3:$F$6,$G5),$F$3:$F$6,$A$3:$A$6,0,0,1)</f>
        <v>39357103D</v>
      </c>
      <c r="I5" s="12" t="str">
        <f>_xlfn.XLOOKUP(LARGE($F$3:$F$6,$G5),$F$3:$F$6,$B$3:$B$6,0,0,1)</f>
        <v xml:space="preserve">Ramon Camps Rota </v>
      </c>
      <c r="J5" s="5">
        <f>_xlfn.XLOOKUP(LARGE($F$3:$F$6,$G5),$F$3:$F$6,$C$3:$C$6,0,0,1)</f>
        <v>5</v>
      </c>
      <c r="K5" s="5">
        <f>_xlfn.XLOOKUP(LARGE($F$3:$F$6,$G5),$F$3:$F$6,$D$3:$D$6,0,0,1)</f>
        <v>4</v>
      </c>
      <c r="L5" s="5">
        <f>_xlfn.XLOOKUP(LARGE($F$3:$F$6,$G5),$F$3:$F$6,$E$3:$E$6,0,0,1)</f>
        <v>8</v>
      </c>
      <c r="M5" s="22">
        <f>_xlfn.XLOOKUP(LARGE($F$3:$F$6,$G5),$F$3:$F$6,$F$3:$F$6,0,0,1)</f>
        <v>17</v>
      </c>
    </row>
    <row r="6" spans="1:21" ht="29.25" customHeight="1" thickBot="1">
      <c r="A6" s="2" t="s">
        <v>38</v>
      </c>
      <c r="B6" s="4" t="s">
        <v>39</v>
      </c>
      <c r="C6" s="5">
        <v>6</v>
      </c>
      <c r="D6" s="5">
        <v>7</v>
      </c>
      <c r="E6" s="5">
        <v>8</v>
      </c>
      <c r="F6" s="6">
        <f>SUM(C6:E6)</f>
        <v>21</v>
      </c>
      <c r="G6" s="11">
        <v>4</v>
      </c>
      <c r="H6" s="23" t="str">
        <f>_xlfn.XLOOKUP(LARGE($F$3:$F$6,$G6),$F$3:$F$6,$A$3:$A$6,0,0,1)</f>
        <v>B66078999</v>
      </c>
      <c r="I6" s="24" t="str">
        <f>_xlfn.XLOOKUP(LARGE($F$3:$F$6,$G6),$F$3:$F$6,$B$3:$B$6,0,0,1)</f>
        <v xml:space="preserve">Hidrogeologia i Enginyeria del Terreny SLU </v>
      </c>
      <c r="J6" s="25">
        <f>_xlfn.XLOOKUP(LARGE($F$3:$F$6,$G6),$F$3:$F$6,$C$3:$C$6,0,0,1)</f>
        <v>3</v>
      </c>
      <c r="K6" s="25">
        <f>_xlfn.XLOOKUP(LARGE($F$3:$F$6,$G6),$F$3:$F$6,$D$3:$D$6,0,0,1)</f>
        <v>3</v>
      </c>
      <c r="L6" s="25">
        <f>_xlfn.XLOOKUP(LARGE($F$3:$F$6,$G6),$F$3:$F$6,$E$3:$E$6,0,0,1)</f>
        <v>8</v>
      </c>
      <c r="M6" s="26">
        <f>_xlfn.XLOOKUP(LARGE($F$3:$F$6,$G6),$F$3:$F$6,$F$3:$F$6,0,0,1)</f>
        <v>14</v>
      </c>
    </row>
    <row r="7" spans="1:21">
      <c r="A7" s="9" t="s">
        <v>40</v>
      </c>
      <c r="H7" s="9"/>
    </row>
    <row r="8" spans="1:21" ht="30" customHeight="1">
      <c r="A8" s="3" t="s">
        <v>25</v>
      </c>
      <c r="B8" s="3" t="s">
        <v>26</v>
      </c>
      <c r="C8" s="7" t="s">
        <v>41</v>
      </c>
      <c r="D8" s="7" t="s">
        <v>42</v>
      </c>
      <c r="E8" s="7" t="s">
        <v>43</v>
      </c>
      <c r="F8" s="7" t="s">
        <v>44</v>
      </c>
      <c r="H8" s="9"/>
    </row>
    <row r="9" spans="1:21" ht="28.5" customHeight="1">
      <c r="A9" s="2" t="str">
        <f t="shared" ref="A9:B12" si="0">A3</f>
        <v>B66078999</v>
      </c>
      <c r="B9" s="4" t="str">
        <f t="shared" si="0"/>
        <v xml:space="preserve">Hidrogeologia i Enginyeria del Terreny SLU </v>
      </c>
      <c r="C9" s="8">
        <v>10548.75</v>
      </c>
      <c r="D9" s="8">
        <f>C9*21%</f>
        <v>2215.2374999999997</v>
      </c>
      <c r="E9" s="8">
        <f>C9+D9</f>
        <v>12763.987499999999</v>
      </c>
      <c r="F9" s="19" t="str">
        <f>IF(C9&lt;$C$17,"Justificar","Correcte")</f>
        <v>Correcte</v>
      </c>
      <c r="G9" s="18"/>
      <c r="H9" s="9"/>
    </row>
    <row r="10" spans="1:21" ht="28.5" customHeight="1">
      <c r="A10" s="2" t="str">
        <f t="shared" si="0"/>
        <v>B62305248</v>
      </c>
      <c r="B10" s="4" t="str">
        <f t="shared" si="0"/>
        <v>Philae Enginyeria de Projectes SL</v>
      </c>
      <c r="C10" s="8">
        <v>9900</v>
      </c>
      <c r="D10" s="8">
        <f>C10*21%</f>
        <v>2079</v>
      </c>
      <c r="E10" s="8">
        <f>C10+D10</f>
        <v>11979</v>
      </c>
      <c r="F10" s="19" t="str">
        <f>IF(C10&lt;$C$17,"Justificar","Correcte")</f>
        <v>Correcte</v>
      </c>
      <c r="G10" s="18"/>
      <c r="H10" s="9"/>
    </row>
    <row r="11" spans="1:21" ht="28.5" customHeight="1">
      <c r="A11" s="2" t="str">
        <f t="shared" si="0"/>
        <v>39357103D</v>
      </c>
      <c r="B11" s="4" t="str">
        <f t="shared" si="0"/>
        <v xml:space="preserve">Ramon Camps Rota </v>
      </c>
      <c r="C11" s="8">
        <v>7776</v>
      </c>
      <c r="D11" s="8">
        <f>C11*21%</f>
        <v>1632.96</v>
      </c>
      <c r="E11" s="8">
        <f>C11+D11</f>
        <v>9408.9599999999991</v>
      </c>
      <c r="F11" s="19" t="str">
        <f>IF(C11&lt;$C$17,"Justificar","Correcte")</f>
        <v>Justificar</v>
      </c>
      <c r="G11" s="18"/>
      <c r="H11" s="9"/>
    </row>
    <row r="12" spans="1:21" ht="28.5" customHeight="1">
      <c r="A12" s="2" t="str">
        <f t="shared" si="0"/>
        <v>B61263679</v>
      </c>
      <c r="B12" s="4" t="str">
        <f t="shared" si="0"/>
        <v xml:space="preserve">Estudi d’Enginyeria Vall SLP </v>
      </c>
      <c r="C12" s="8">
        <v>10750</v>
      </c>
      <c r="D12" s="8">
        <f>C12*21%</f>
        <v>2257.5</v>
      </c>
      <c r="E12" s="8">
        <f>C12+D12</f>
        <v>13007.5</v>
      </c>
      <c r="F12" s="19" t="str">
        <f>IF(C12&lt;$C$17,"Justificar","Correcte")</f>
        <v>Correcte</v>
      </c>
      <c r="G12" s="18"/>
      <c r="H12" s="9"/>
    </row>
    <row r="13" spans="1:21">
      <c r="A13" s="9"/>
      <c r="H13" s="9"/>
    </row>
    <row r="14" spans="1:21">
      <c r="A14" s="9"/>
      <c r="B14" s="15" t="s">
        <v>45</v>
      </c>
      <c r="C14" s="8">
        <f>SUM(C9:C12)/COUNT(C9:C12)</f>
        <v>9743.6875</v>
      </c>
      <c r="H14" s="9"/>
    </row>
    <row r="15" spans="1:21">
      <c r="A15" s="9"/>
      <c r="B15" s="16" t="s">
        <v>46</v>
      </c>
      <c r="C15" s="8">
        <f>C14*1.1</f>
        <v>10718.056250000001</v>
      </c>
      <c r="H15" s="9"/>
    </row>
    <row r="16" spans="1:21">
      <c r="A16" s="9"/>
      <c r="B16" s="15" t="s">
        <v>47</v>
      </c>
      <c r="C16" s="8">
        <f>SUMIF(C9:C12,"&lt;10718,06",C9:C12)/COUNTIF(C9:C12,"&lt;10718,06")</f>
        <v>9408.25</v>
      </c>
      <c r="H16" s="9"/>
    </row>
    <row r="17" spans="1:16">
      <c r="A17" s="9"/>
      <c r="B17" s="16" t="s">
        <v>48</v>
      </c>
      <c r="C17" s="8">
        <f>C16/1.1</f>
        <v>8552.9545454545441</v>
      </c>
      <c r="H17" s="9"/>
    </row>
    <row r="18" spans="1:16">
      <c r="A18" s="9"/>
      <c r="B18" s="15" t="s">
        <v>49</v>
      </c>
      <c r="C18" s="17">
        <f>COUNTIF(C9:C12,"&lt;8552,95")</f>
        <v>1</v>
      </c>
      <c r="H18" s="9"/>
    </row>
    <row r="19" spans="1:16" ht="15.75" customHeight="1" thickBot="1">
      <c r="A19" s="9"/>
      <c r="H19" s="9"/>
    </row>
    <row r="20" spans="1:16" ht="30" customHeight="1">
      <c r="A20" s="3" t="s">
        <v>25</v>
      </c>
      <c r="B20" s="3" t="s">
        <v>26</v>
      </c>
      <c r="C20" s="7" t="s">
        <v>41</v>
      </c>
      <c r="D20" s="7" t="s">
        <v>42</v>
      </c>
      <c r="E20" s="7" t="s">
        <v>43</v>
      </c>
      <c r="F20" s="7" t="s">
        <v>50</v>
      </c>
      <c r="H20" s="28" t="s">
        <v>25</v>
      </c>
      <c r="I20" s="29" t="s">
        <v>26</v>
      </c>
      <c r="J20" s="30" t="s">
        <v>41</v>
      </c>
      <c r="K20" s="30" t="s">
        <v>42</v>
      </c>
      <c r="L20" s="30" t="s">
        <v>43</v>
      </c>
      <c r="M20" s="32" t="s">
        <v>50</v>
      </c>
    </row>
    <row r="21" spans="1:16" ht="28.5" customHeight="1">
      <c r="A21" s="2" t="str">
        <f t="shared" ref="A21:B24" si="1">A3</f>
        <v>B66078999</v>
      </c>
      <c r="B21" s="4" t="str">
        <f t="shared" si="1"/>
        <v xml:space="preserve">Hidrogeologia i Enginyeria del Terreny SLU </v>
      </c>
      <c r="C21" s="8">
        <f>IF(F9="exclòs","Exclòs",C9)</f>
        <v>10548.75</v>
      </c>
      <c r="D21" s="8">
        <f>IF(C21="exclòs","Exclòs",C21*21%)</f>
        <v>2215.2374999999997</v>
      </c>
      <c r="E21" s="8">
        <f>IF(C21="exclòs","Exclòs",C21+D21)</f>
        <v>12763.987499999999</v>
      </c>
      <c r="F21" s="10">
        <f>IFERROR(IF(E21=MIN($E$21:$E$24),60,60*(MIN($E$21:$E$24)/E21)),0)</f>
        <v>44.228937077852827</v>
      </c>
      <c r="G21" s="20">
        <v>1</v>
      </c>
      <c r="H21" s="21" t="str">
        <f>_xlfn.XLOOKUP(LARGE($F$21:$F$24,$G21),$F$21:$F$24,$A$21:$A$24,0,0,1)</f>
        <v>39357103D</v>
      </c>
      <c r="I21" s="12" t="str">
        <f>_xlfn.XLOOKUP(LARGE($F$21:$F$24,$G21),$F$21:$F$24,$B$21:$B$24,0,0,1)</f>
        <v xml:space="preserve">Ramon Camps Rota </v>
      </c>
      <c r="J21" s="8">
        <f>_xlfn.XLOOKUP(LARGE($F$21:$F$24,$G21),$F$21:$F$24,$C$21:$C$24,0,0,1)</f>
        <v>7776</v>
      </c>
      <c r="K21" s="8">
        <f>_xlfn.XLOOKUP(LARGE($F$21:$F$24,$G21),$F$21:$F$24,$D$21:$D$24,0,0,1)</f>
        <v>1632.96</v>
      </c>
      <c r="L21" s="8">
        <f>_xlfn.XLOOKUP(LARGE($F$21:$F$24,$G21),$F$21:$F$24,$E$21:$E$24,0,0,1)</f>
        <v>9408.9599999999991</v>
      </c>
      <c r="M21" s="22">
        <f>_xlfn.XLOOKUP(LARGE($F$21:$F$24,$G21),$F$21:$F$24,$F$21:$F$24,0,0,1)</f>
        <v>60</v>
      </c>
    </row>
    <row r="22" spans="1:16" ht="28.5" customHeight="1">
      <c r="A22" s="2" t="str">
        <f t="shared" si="1"/>
        <v>B62305248</v>
      </c>
      <c r="B22" s="4" t="str">
        <f t="shared" si="1"/>
        <v>Philae Enginyeria de Projectes SL</v>
      </c>
      <c r="C22" s="8">
        <f>IF(F10="exclòs","Exclòs",C10)</f>
        <v>9900</v>
      </c>
      <c r="D22" s="8">
        <f>IF(C22="exclòs","Exclòs",C22*21%)</f>
        <v>2079</v>
      </c>
      <c r="E22" s="8">
        <f>IF(C22="exclòs","Exclòs",C22+D22)</f>
        <v>11979</v>
      </c>
      <c r="F22" s="10">
        <f>IFERROR(IF(E22=MIN($E$21:$E$24),60,60*(MIN($E$21:$E$24)/E22)),0)</f>
        <v>47.127272727272725</v>
      </c>
      <c r="G22" s="20">
        <v>2</v>
      </c>
      <c r="H22" s="21" t="str">
        <f>_xlfn.XLOOKUP(LARGE($F$21:$F$24,$G22),$F$21:$F$24,$A$21:$A$24,0,0,1)</f>
        <v>B62305248</v>
      </c>
      <c r="I22" s="12" t="str">
        <f>_xlfn.XLOOKUP(LARGE($F$21:$F$24,$G22),$F$21:$F$24,$B$21:$B$24,0,0,1)</f>
        <v>Philae Enginyeria de Projectes SL</v>
      </c>
      <c r="J22" s="8">
        <f>_xlfn.XLOOKUP(LARGE($F$21:$F$24,$G22),$F$21:$F$24,$C$21:$C$24,0,0,1)</f>
        <v>9900</v>
      </c>
      <c r="K22" s="8">
        <f>_xlfn.XLOOKUP(LARGE($F$21:$F$24,$G22),$F$21:$F$24,$D$21:$D$24,0,0,1)</f>
        <v>2079</v>
      </c>
      <c r="L22" s="8">
        <f>_xlfn.XLOOKUP(LARGE($F$21:$F$24,$G22),$F$21:$F$24,$E$21:$E$24,0,0,1)</f>
        <v>11979</v>
      </c>
      <c r="M22" s="22">
        <f>_xlfn.XLOOKUP(LARGE($F$21:$F$24,$G22),$F$21:$F$24,$F$21:$F$24,0,0,1)</f>
        <v>47.127272727272725</v>
      </c>
    </row>
    <row r="23" spans="1:16" ht="28.5" customHeight="1">
      <c r="A23" s="2" t="str">
        <f t="shared" si="1"/>
        <v>39357103D</v>
      </c>
      <c r="B23" s="4" t="str">
        <f t="shared" si="1"/>
        <v xml:space="preserve">Ramon Camps Rota </v>
      </c>
      <c r="C23" s="8">
        <f>IF(F11="exclòs","Exclòs",C11)</f>
        <v>7776</v>
      </c>
      <c r="D23" s="8">
        <f>IF(C23="exclòs","Exclòs",C23*21%)</f>
        <v>1632.96</v>
      </c>
      <c r="E23" s="8">
        <f>IF(C23="exclòs","Exclòs",C23+D23)</f>
        <v>9408.9599999999991</v>
      </c>
      <c r="F23" s="10">
        <f>IFERROR(IF(E23=MIN($E$21:$E$24),60,60*(MIN($E$21:$E$24)/E23)),0)</f>
        <v>60</v>
      </c>
      <c r="G23" s="20">
        <v>3</v>
      </c>
      <c r="H23" s="21" t="str">
        <f>_xlfn.XLOOKUP(LARGE($F$21:$F$24,$G23),$F$21:$F$24,$A$21:$A$24,0,0,1)</f>
        <v>B66078999</v>
      </c>
      <c r="I23" s="12" t="str">
        <f>_xlfn.XLOOKUP(LARGE($F$21:$F$24,$G23),$F$21:$F$24,$B$21:$B$24,0,0,1)</f>
        <v xml:space="preserve">Hidrogeologia i Enginyeria del Terreny SLU </v>
      </c>
      <c r="J23" s="8">
        <f>_xlfn.XLOOKUP(LARGE($F$21:$F$24,$G23),$F$21:$F$24,$C$21:$C$24,0,0,1)</f>
        <v>10548.75</v>
      </c>
      <c r="K23" s="8">
        <f>_xlfn.XLOOKUP(LARGE($F$21:$F$24,$G23),$F$21:$F$24,$D$21:$D$24,0,0,1)</f>
        <v>2215.2374999999997</v>
      </c>
      <c r="L23" s="8">
        <f>_xlfn.XLOOKUP(LARGE($F$21:$F$24,$G23),$F$21:$F$24,$E$21:$E$24,0,0,1)</f>
        <v>12763.987499999999</v>
      </c>
      <c r="M23" s="22">
        <f>_xlfn.XLOOKUP(LARGE($F$21:$F$24,$G23),$F$21:$F$24,$F$21:$F$24,0,0,1)</f>
        <v>44.228937077852827</v>
      </c>
    </row>
    <row r="24" spans="1:16" ht="29.25" customHeight="1" thickBot="1">
      <c r="A24" s="2" t="str">
        <f t="shared" si="1"/>
        <v>B61263679</v>
      </c>
      <c r="B24" s="4" t="str">
        <f t="shared" si="1"/>
        <v xml:space="preserve">Estudi d’Enginyeria Vall SLP </v>
      </c>
      <c r="C24" s="8">
        <f>IF(F12="exclòs","Exclòs",C12)</f>
        <v>10750</v>
      </c>
      <c r="D24" s="8">
        <f>IF(C24="exclòs","Exclòs",C24*21%)</f>
        <v>2257.5</v>
      </c>
      <c r="E24" s="8">
        <f>IF(C24="exclòs","Exclòs",C24+D24)</f>
        <v>13007.5</v>
      </c>
      <c r="F24" s="10">
        <f>IFERROR(IF(E24=MIN($E$21:$E$24),60,60*(MIN($E$21:$E$24)/E24)),0)</f>
        <v>43.400930232558132</v>
      </c>
      <c r="G24" s="11">
        <v>4</v>
      </c>
      <c r="H24" s="23" t="str">
        <f>_xlfn.XLOOKUP(LARGE($F$21:$F$24,$G24),$F$21:$F$24,$A$21:$A$24,0,0,1)</f>
        <v>B61263679</v>
      </c>
      <c r="I24" s="24" t="str">
        <f>_xlfn.XLOOKUP(LARGE($F$21:$F$24,$G24),$F$21:$F$24,$B$21:$B$24,0,0,1)</f>
        <v xml:space="preserve">Estudi d’Enginyeria Vall SLP </v>
      </c>
      <c r="J24" s="27">
        <f>_xlfn.XLOOKUP(LARGE($F$21:$F$24,$G24),$F$21:$F$24,$C$21:$C$24,0,0,1)</f>
        <v>10750</v>
      </c>
      <c r="K24" s="27">
        <f>_xlfn.XLOOKUP(LARGE($F$21:$F$24,$G24),$F$21:$F$24,$D$21:$D$24,0,0,1)</f>
        <v>2257.5</v>
      </c>
      <c r="L24" s="27">
        <f>_xlfn.XLOOKUP(LARGE($F$21:$F$24,$G24),$F$21:$F$24,$E$21:$E$24,0,0,1)</f>
        <v>13007.5</v>
      </c>
      <c r="M24" s="26">
        <f>_xlfn.XLOOKUP(LARGE($F$21:$F$24,$G24),$F$21:$F$24,$F$21:$F$24,0,0,1)</f>
        <v>43.400930232558132</v>
      </c>
    </row>
    <row r="26" spans="1:16">
      <c r="E26" s="33"/>
    </row>
    <row r="27" spans="1:16">
      <c r="C27" s="33"/>
      <c r="I27" s="1"/>
    </row>
    <row r="31" spans="1:16" ht="15.75" customHeight="1" thickBot="1"/>
    <row r="32" spans="1:16" ht="45" customHeight="1">
      <c r="A32" s="3" t="s">
        <v>25</v>
      </c>
      <c r="B32" s="3" t="s">
        <v>26</v>
      </c>
      <c r="C32" s="7" t="s">
        <v>51</v>
      </c>
      <c r="D32" s="7" t="s">
        <v>52</v>
      </c>
      <c r="E32" s="7" t="s">
        <v>43</v>
      </c>
      <c r="H32" s="28" t="s">
        <v>25</v>
      </c>
      <c r="I32" s="29" t="s">
        <v>26</v>
      </c>
      <c r="J32" s="30" t="s">
        <v>51</v>
      </c>
      <c r="K32" s="30" t="s">
        <v>52</v>
      </c>
      <c r="L32" s="32" t="s">
        <v>43</v>
      </c>
      <c r="P32" s="13"/>
    </row>
    <row r="33" spans="1:17" ht="28.5" customHeight="1">
      <c r="A33" s="2" t="str">
        <f t="shared" ref="A33:B36" si="2">A3</f>
        <v>B66078999</v>
      </c>
      <c r="B33" s="12" t="str">
        <f t="shared" si="2"/>
        <v xml:space="preserve">Hidrogeologia i Enginyeria del Terreny SLU </v>
      </c>
      <c r="C33" s="5">
        <f>_xlfn.XLOOKUP(B33,$B$3:$B$6,$F$3:$F$6,0,0,1)</f>
        <v>14</v>
      </c>
      <c r="D33" s="5">
        <f>_xlfn.XLOOKUP(B33,$B$21:$B$24,$F$21:$F$24,0,0,1)</f>
        <v>44.228937077852827</v>
      </c>
      <c r="E33" s="5">
        <f>C33+D33</f>
        <v>58.228937077852827</v>
      </c>
      <c r="G33" s="11">
        <v>1</v>
      </c>
      <c r="H33" s="21" t="str">
        <f>_xlfn.XLOOKUP(LARGE($E$33:$E$36,$G33),$E$33:$E$36,$A$33:$A$36,0,0,1)</f>
        <v>39357103D</v>
      </c>
      <c r="I33" s="12" t="str">
        <f>_xlfn.XLOOKUP(LARGE($E$33:$E$36,$G33),$E$33:$E$36,$B$33:$B$36,0,0,1)</f>
        <v xml:space="preserve">Ramon Camps Rota </v>
      </c>
      <c r="J33" s="5">
        <f>_xlfn.XLOOKUP(LARGE($E$33:$E$36,$G33),$E$33:$E$36,$C$33:$C$36,0,0,1)</f>
        <v>17</v>
      </c>
      <c r="K33" s="5">
        <f>_xlfn.XLOOKUP(LARGE($E$33:$E$36,$G33),$E$33:$E$36,$D$33:$D$36,0,0,1)</f>
        <v>60</v>
      </c>
      <c r="L33" s="22">
        <f>IF(J33=0,"Exclòs",IF(K33=0,"Exclòs",J33+K33))</f>
        <v>77</v>
      </c>
      <c r="P33" s="13"/>
    </row>
    <row r="34" spans="1:17" ht="28.5" customHeight="1">
      <c r="A34" s="2" t="str">
        <f t="shared" si="2"/>
        <v>B62305248</v>
      </c>
      <c r="B34" s="12" t="str">
        <f t="shared" si="2"/>
        <v>Philae Enginyeria de Projectes SL</v>
      </c>
      <c r="C34" s="5">
        <f>_xlfn.XLOOKUP(B34,$B$3:$B$6,$F$3:$F$6,0,0,1)</f>
        <v>22</v>
      </c>
      <c r="D34" s="5">
        <f>_xlfn.XLOOKUP(B34,$B$21:$B$24,$F$21:$F$24,0,0,1)</f>
        <v>47.127272727272725</v>
      </c>
      <c r="E34" s="5">
        <f>C34+D34</f>
        <v>69.127272727272725</v>
      </c>
      <c r="G34" s="11">
        <v>2</v>
      </c>
      <c r="H34" s="21" t="str">
        <f>_xlfn.XLOOKUP(LARGE($E$33:$E$36,$G34),$E$33:$E$36,$A$33:$A$36,0,0,1)</f>
        <v>B62305248</v>
      </c>
      <c r="I34" s="12" t="str">
        <f>_xlfn.XLOOKUP(LARGE($E$33:$E$36,$G34),$E$33:$E$36,$B$33:$B$36,0,0,1)</f>
        <v>Philae Enginyeria de Projectes SL</v>
      </c>
      <c r="J34" s="5">
        <f>_xlfn.XLOOKUP(LARGE($E$33:$E$36,$G34),$E$33:$E$36,$C$33:$C$36,0,0,1)</f>
        <v>22</v>
      </c>
      <c r="K34" s="5">
        <f>_xlfn.XLOOKUP(LARGE($E$33:$E$36,$G34),$E$33:$E$36,$D$33:$D$36,0,0,1)</f>
        <v>47.127272727272725</v>
      </c>
      <c r="L34" s="22">
        <f>IF(J34=0,"Exclòs",IF(K34=0,"Exclòs",J34+K34))</f>
        <v>69.127272727272725</v>
      </c>
      <c r="P34" s="14"/>
    </row>
    <row r="35" spans="1:17" ht="28.5" customHeight="1">
      <c r="A35" s="2" t="str">
        <f t="shared" si="2"/>
        <v>39357103D</v>
      </c>
      <c r="B35" s="12" t="str">
        <f t="shared" si="2"/>
        <v xml:space="preserve">Ramon Camps Rota </v>
      </c>
      <c r="C35" s="5">
        <f>_xlfn.XLOOKUP(B35,$B$3:$B$6,$F$3:$F$6,0,0,1)</f>
        <v>17</v>
      </c>
      <c r="D35" s="5">
        <f>_xlfn.XLOOKUP(B35,$B$21:$B$24,$F$21:$F$24,0,0,1)</f>
        <v>60</v>
      </c>
      <c r="E35" s="5">
        <f>IFERROR(C35+D35,"Exclòs")</f>
        <v>77</v>
      </c>
      <c r="G35" s="11">
        <v>3</v>
      </c>
      <c r="H35" s="21" t="str">
        <f>_xlfn.XLOOKUP(LARGE($E$33:$E$36,$G35),$E$33:$E$36,$A$33:$A$36,0,0,1)</f>
        <v>B61263679</v>
      </c>
      <c r="I35" s="12" t="str">
        <f>_xlfn.XLOOKUP(LARGE($E$33:$E$36,$G35),$E$33:$E$36,$B$33:$B$36,0,0,1)</f>
        <v xml:space="preserve">Estudi d’Enginyeria Vall SLP </v>
      </c>
      <c r="J35" s="5">
        <f>_xlfn.XLOOKUP(LARGE($E$33:$E$36,$G35),$E$33:$E$36,$C$33:$C$36,0,0,1)</f>
        <v>21</v>
      </c>
      <c r="K35" s="5">
        <f>_xlfn.XLOOKUP(LARGE($E$33:$E$36,$G35),$E$33:$E$36,$D$33:$D$36,0,0,1)</f>
        <v>43.400930232558132</v>
      </c>
      <c r="L35" s="22">
        <f>IF(J35=0,"Exclòs",IF(K35=0,"Exclòs",J35+K35))</f>
        <v>64.400930232558125</v>
      </c>
      <c r="Q35" s="14"/>
    </row>
    <row r="36" spans="1:17" ht="29.25" customHeight="1" thickBot="1">
      <c r="A36" s="2" t="str">
        <f t="shared" si="2"/>
        <v>B61263679</v>
      </c>
      <c r="B36" s="12" t="str">
        <f t="shared" si="2"/>
        <v xml:space="preserve">Estudi d’Enginyeria Vall SLP </v>
      </c>
      <c r="C36" s="5">
        <f>_xlfn.XLOOKUP(B36,$B$3:$B$6,$F$3:$F$6,0,0,1)</f>
        <v>21</v>
      </c>
      <c r="D36" s="5">
        <f>_xlfn.XLOOKUP(B36,$B$21:$B$24,$F$21:$F$24,0,0,1)</f>
        <v>43.400930232558132</v>
      </c>
      <c r="E36" s="5">
        <f>C36+D36</f>
        <v>64.400930232558125</v>
      </c>
      <c r="G36" s="11">
        <v>4</v>
      </c>
      <c r="H36" s="23" t="str">
        <f>_xlfn.XLOOKUP(LARGE($E$33:$E$36,$G36),$E$33:$E$36,$A$33:$A$36,0,0,1)</f>
        <v>B66078999</v>
      </c>
      <c r="I36" s="24" t="str">
        <f>_xlfn.XLOOKUP(LARGE($E$33:$E$36,$G36),$E$33:$E$36,$B$33:$B$36,0,0,1)</f>
        <v xml:space="preserve">Hidrogeologia i Enginyeria del Terreny SLU </v>
      </c>
      <c r="J36" s="25">
        <f>_xlfn.XLOOKUP(LARGE($E$33:$E$36,$G36),$E$33:$E$36,$C$33:$C$36,0,0,1)</f>
        <v>14</v>
      </c>
      <c r="K36" s="25">
        <f>_xlfn.XLOOKUP(LARGE($E$33:$E$36,$G36),$E$33:$E$36,$D$33:$D$36,0,0,1)</f>
        <v>44.228937077852827</v>
      </c>
      <c r="L36" s="26">
        <f>IF(J36=0,"Exclòs",IF(K36=0,"Exclòs",J36+K36))</f>
        <v>58.228937077852827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Exp80-2026</vt:lpstr>
      <vt:lpstr>Puntuació licitadors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LUDEVID I MASSANA</dc:creator>
  <cp:lastModifiedBy>XAVIER LUDEVID I MASSANA</cp:lastModifiedBy>
  <dcterms:created xsi:type="dcterms:W3CDTF">2024-04-25T13:07:29Z</dcterms:created>
  <dcterms:modified xsi:type="dcterms:W3CDTF">2026-10-22T15:36:41Z</dcterms:modified>
</cp:coreProperties>
</file>