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omments1.xml" ContentType="application/vnd.openxmlformats-officedocument.spreadsheetml.comments+xml"/>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omments2.xml" ContentType="application/vnd.openxmlformats-officedocument.spreadsheetml.comments+xml"/>
  <Override PartName="/xl/customProperty9.bin" ContentType="application/vnd.openxmlformats-officedocument.spreadsheetml.customProperty"/>
  <Override PartName="/xl/drawings/drawing4.xml" ContentType="application/vnd.openxmlformats-officedocument.drawing+xml"/>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omments3.xml" ContentType="application/vnd.openxmlformats-officedocument.spreadsheetml.comments+xml"/>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drawings/drawing5.xml" ContentType="application/vnd.openxmlformats-officedocument.drawing+xml"/>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K:\QUOTA\IMSS\Jurídic_restore\A102 SERVEIS JURIDICS\0046 CONTRACTACIÓ\CONTRACTES\2026\26000303 P2600156 POS Serveis Complementaris VTEH\Per publicar\"/>
    </mc:Choice>
  </mc:AlternateContent>
  <xr:revisionPtr revIDLastSave="0" documentId="8_{2DCE3A1C-AA75-42AD-9AB7-3D066FD21BBD}" xr6:coauthVersionLast="47" xr6:coauthVersionMax="47" xr10:uidLastSave="{00000000-0000-0000-0000-000000000000}"/>
  <bookViews>
    <workbookView xWindow="2595" yWindow="2595" windowWidth="21600" windowHeight="11385" tabRatio="460" firstSheet="5" activeTab="5" xr2:uid="{00000000-000D-0000-FFFF-FFFF00000000}"/>
  </bookViews>
  <sheets>
    <sheet name="ESTIMACIÓ PLUSES" sheetId="34" state="hidden" r:id="rId1"/>
    <sheet name="SALARIS CONVENI 2026" sheetId="33" state="hidden" r:id="rId2"/>
    <sheet name="1 RESUM" sheetId="32" state="hidden" r:id="rId3"/>
    <sheet name="CALCUL ANUAL SASSEP" sheetId="24" state="hidden" r:id="rId4"/>
    <sheet name="CÀLCUL ANUAL SDI" sheetId="37" state="hidden" r:id="rId5"/>
    <sheet name="ANNEX 3BIS POS VTEH " sheetId="31" r:id="rId6"/>
    <sheet name="Full6" sheetId="36" state="hidden" r:id="rId7"/>
    <sheet name="SALARIS CONVENI 2024" sheetId="19" state="hidden" r:id="rId8"/>
    <sheet name="TAULA MARE (proba) (2)" sheetId="18" state="hidden" r:id="rId9"/>
    <sheet name="COMPARATIU DEFINITIU" sheetId="20" state="hidden" r:id="rId10"/>
    <sheet name="COMPARATIU (2)" sheetId="17" state="hidden" r:id="rId11"/>
    <sheet name="TAULA MARE DEF" sheetId="16" state="hidden" r:id="rId12"/>
    <sheet name="Explic vigilancia" sheetId="15" state="hidden" r:id="rId13"/>
    <sheet name="COMPARATIU" sheetId="13" state="hidden" r:id="rId14"/>
    <sheet name="TAULA MARE" sheetId="8" state="hidden" r:id="rId15"/>
    <sheet name="PERIODIFICACIÓN" sheetId="4" state="hidden" r:id="rId16"/>
    <sheet name="VEC" sheetId="5" state="hidden" r:id="rId17"/>
    <sheet name="ANNEX 4" sheetId="6" state="hidden" r:id="rId18"/>
    <sheet name="Full9" sheetId="9" state="hidden" r:id="rId19"/>
    <sheet name="Full1" sheetId="10" state="hidden" r:id="rId20"/>
    <sheet name="PROTECCIÓ" sheetId="11" state="hidden" r:id="rId21"/>
    <sheet name="VEHICLES" sheetId="12" state="hidden" r:id="rId22"/>
    <sheet name="Full4" sheetId="14" state="hidden" r:id="rId23"/>
    <sheet name="Full3" sheetId="21" state="hidden" r:id="rId24"/>
    <sheet name="Full5" sheetId="22" state="hidden" r:id="rId25"/>
    <sheet name="TAULA MARE DEF (prova)" sheetId="25" state="hidden" r:id="rId26"/>
  </sheets>
  <externalReferences>
    <externalReference r:id="rId27"/>
  </externalReferences>
  <definedNames>
    <definedName name="_xlnm.Print_Area" localSheetId="3">'CALCUL ANUAL SASSEP'!$A$7:$AA$174</definedName>
    <definedName name="_xlnm.Print_Area" localSheetId="4">'CÀLCUL ANUAL SDI'!$A$7:$Z$119</definedName>
    <definedName name="_xlnm.Print_Area" localSheetId="7">'SALARIS CONVENI 2024'!$A$1:$F$32</definedName>
    <definedName name="_xlnm.Print_Area" localSheetId="1">'SALARIS CONVENI 2026'!#REF!</definedName>
    <definedName name="_xlnm.Print_Area" localSheetId="14">'TAULA MARE'!$A$7:$AD$130</definedName>
    <definedName name="_xlnm.Print_Area" localSheetId="8">'TAULA MARE (proba) (2)'!$A$7:$AC$130</definedName>
    <definedName name="_xlnm.Print_Area" localSheetId="11">'TAULA MARE DEF'!$A$7:$AC$129</definedName>
    <definedName name="_xlnm.Print_Area" localSheetId="25">'TAULA MARE DEF (prova)'!$A$7:$AC$128</definedName>
    <definedName name="CostAuxiliarHora" localSheetId="2">#REF!</definedName>
    <definedName name="CostAuxiliarHora" localSheetId="5">#REF!</definedName>
    <definedName name="CostAuxiliarHora" localSheetId="3">#REF!</definedName>
    <definedName name="CostAuxiliarHora" localSheetId="4">#REF!</definedName>
    <definedName name="CostAuxiliarHora" localSheetId="10">#REF!</definedName>
    <definedName name="CostAuxiliarHora" localSheetId="9">#REF!</definedName>
    <definedName name="CostAuxiliarHora" localSheetId="12">#REF!</definedName>
    <definedName name="CostAuxiliarHora" localSheetId="8">#REF!</definedName>
    <definedName name="CostAuxiliarHora" localSheetId="11">#REF!</definedName>
    <definedName name="CostAuxiliarHora" localSheetId="25">#REF!</definedName>
    <definedName name="CostAuxiliarHora">#REF!</definedName>
    <definedName name="CostDireccióHora" localSheetId="2">#REF!</definedName>
    <definedName name="CostDireccióHora" localSheetId="5">#REF!</definedName>
    <definedName name="CostDireccióHora" localSheetId="3">#REF!</definedName>
    <definedName name="CostDireccióHora" localSheetId="4">#REF!</definedName>
    <definedName name="CostDireccióHora" localSheetId="10">#REF!</definedName>
    <definedName name="CostDireccióHora" localSheetId="9">#REF!</definedName>
    <definedName name="CostDireccióHora" localSheetId="12">#REF!</definedName>
    <definedName name="CostDireccióHora" localSheetId="8">#REF!</definedName>
    <definedName name="CostDireccióHora" localSheetId="11">#REF!</definedName>
    <definedName name="CostDireccióHora" localSheetId="25">#REF!</definedName>
    <definedName name="CostDireccióHora">#REF!</definedName>
    <definedName name="CostMenú" localSheetId="2">#REF!</definedName>
    <definedName name="CostMenú" localSheetId="5">#REF!</definedName>
    <definedName name="CostMenú" localSheetId="3">#REF!</definedName>
    <definedName name="CostMenú" localSheetId="4">#REF!</definedName>
    <definedName name="CostMenú" localSheetId="10">#REF!</definedName>
    <definedName name="CostMenú" localSheetId="9">#REF!</definedName>
    <definedName name="CostMenú" localSheetId="12">#REF!</definedName>
    <definedName name="CostMenú" localSheetId="8">#REF!</definedName>
    <definedName name="CostMenú" localSheetId="11">#REF!</definedName>
    <definedName name="CostMenú" localSheetId="25">#REF!</definedName>
    <definedName name="CostMenú">#REF!</definedName>
    <definedName name="HoresSessió" localSheetId="2">#REF!</definedName>
    <definedName name="HoresSessió" localSheetId="5">#REF!</definedName>
    <definedName name="HoresSessió" localSheetId="3">#REF!</definedName>
    <definedName name="HoresSessió" localSheetId="4">#REF!</definedName>
    <definedName name="HoresSessió" localSheetId="10">#REF!</definedName>
    <definedName name="HoresSessió" localSheetId="9">#REF!</definedName>
    <definedName name="HoresSessió" localSheetId="12">#REF!</definedName>
    <definedName name="HoresSessió" localSheetId="8">#REF!</definedName>
    <definedName name="HoresSessió" localSheetId="11">#REF!</definedName>
    <definedName name="HoresSessió" localSheetId="25">#REF!</definedName>
    <definedName name="HoresSessió">#REF!</definedName>
    <definedName name="SessionsAnuals" localSheetId="2">#REF!</definedName>
    <definedName name="SessionsAnuals" localSheetId="5">#REF!</definedName>
    <definedName name="SessionsAnuals" localSheetId="3">#REF!</definedName>
    <definedName name="SessionsAnuals" localSheetId="4">#REF!</definedName>
    <definedName name="SessionsAnuals" localSheetId="10">#REF!</definedName>
    <definedName name="SessionsAnuals" localSheetId="9">#REF!</definedName>
    <definedName name="SessionsAnuals" localSheetId="12">#REF!</definedName>
    <definedName name="SessionsAnuals" localSheetId="8">#REF!</definedName>
    <definedName name="SessionsAnuals" localSheetId="11">#REF!</definedName>
    <definedName name="SessionsAnuals" localSheetId="25">#REF!</definedName>
    <definedName name="SessionsAnual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31" l="1"/>
  <c r="H16" i="31"/>
  <c r="F22" i="31"/>
  <c r="F15" i="31"/>
  <c r="F16" i="31"/>
  <c r="H17" i="31"/>
  <c r="V127" i="37"/>
  <c r="W124" i="37"/>
  <c r="X122" i="37"/>
  <c r="W122" i="37"/>
  <c r="W121" i="37"/>
  <c r="X120" i="37"/>
  <c r="Y120" i="37" s="1"/>
  <c r="X118" i="37"/>
  <c r="W118" i="37"/>
  <c r="AC110" i="37"/>
  <c r="AC112" i="37" s="1"/>
  <c r="AC113" i="37" s="1"/>
  <c r="AC116" i="37" s="1"/>
  <c r="R108" i="37"/>
  <c r="V108" i="37" s="1"/>
  <c r="R107" i="37"/>
  <c r="V107" i="37" s="1"/>
  <c r="R106" i="37"/>
  <c r="V106" i="37" s="1"/>
  <c r="R105" i="37"/>
  <c r="V105" i="37" s="1"/>
  <c r="R104" i="37"/>
  <c r="V104" i="37" s="1"/>
  <c r="R103" i="37"/>
  <c r="V103" i="37" s="1"/>
  <c r="R102" i="37"/>
  <c r="V102" i="37" s="1"/>
  <c r="R101" i="37"/>
  <c r="V101" i="37" s="1"/>
  <c r="R100" i="37"/>
  <c r="R96" i="37"/>
  <c r="V96" i="37" s="1"/>
  <c r="R95" i="37"/>
  <c r="V95" i="37" s="1"/>
  <c r="V94" i="37"/>
  <c r="R93" i="37"/>
  <c r="H87" i="37"/>
  <c r="R87" i="37" s="1"/>
  <c r="AB87" i="37" s="1"/>
  <c r="AB88" i="37" s="1"/>
  <c r="AB109" i="37" s="1"/>
  <c r="AB112" i="37" s="1"/>
  <c r="R86" i="37"/>
  <c r="AA86" i="37" s="1"/>
  <c r="AA88" i="37" s="1"/>
  <c r="H85" i="37"/>
  <c r="R85" i="37" s="1"/>
  <c r="Z85" i="37" s="1"/>
  <c r="Z88" i="37" s="1"/>
  <c r="R84" i="37"/>
  <c r="Y84" i="37" s="1"/>
  <c r="Y88" i="37" s="1"/>
  <c r="H83" i="37"/>
  <c r="R83" i="37" s="1"/>
  <c r="X83" i="37" s="1"/>
  <c r="X88" i="37" s="1"/>
  <c r="H82" i="37"/>
  <c r="R82" i="37" s="1"/>
  <c r="L78" i="37"/>
  <c r="K78" i="37"/>
  <c r="L70" i="37"/>
  <c r="P70" i="37" s="1"/>
  <c r="L69" i="37"/>
  <c r="M69" i="37" s="1"/>
  <c r="N69" i="37" s="1"/>
  <c r="F67" i="37"/>
  <c r="F66" i="37"/>
  <c r="F65" i="37"/>
  <c r="P64" i="37"/>
  <c r="Q64" i="37" s="1"/>
  <c r="R64" i="37" s="1"/>
  <c r="U64" i="37" s="1"/>
  <c r="L64" i="37"/>
  <c r="L62" i="37"/>
  <c r="P62" i="37" s="1"/>
  <c r="H61" i="37"/>
  <c r="H66" i="37" s="1"/>
  <c r="F61" i="37"/>
  <c r="L61" i="37" s="1"/>
  <c r="P61" i="37" s="1"/>
  <c r="E61" i="37"/>
  <c r="H60" i="37"/>
  <c r="F60" i="37"/>
  <c r="E60" i="37"/>
  <c r="L59" i="37"/>
  <c r="G59" i="37"/>
  <c r="N56" i="37"/>
  <c r="L56" i="37"/>
  <c r="P56" i="37" s="1"/>
  <c r="H55" i="37"/>
  <c r="H54" i="37"/>
  <c r="F54" i="37"/>
  <c r="F55" i="37" s="1"/>
  <c r="L52" i="37"/>
  <c r="P52" i="37" s="1"/>
  <c r="L51" i="37"/>
  <c r="H50" i="37"/>
  <c r="F50" i="37"/>
  <c r="H49" i="37"/>
  <c r="H57" i="37" s="1"/>
  <c r="H65" i="37" s="1"/>
  <c r="F49" i="37"/>
  <c r="E49" i="37"/>
  <c r="L48" i="37"/>
  <c r="G48" i="37"/>
  <c r="P48" i="37" s="1"/>
  <c r="F46" i="37"/>
  <c r="G46" i="37" s="1"/>
  <c r="Q45" i="37"/>
  <c r="R45" i="37" s="1"/>
  <c r="L43" i="37"/>
  <c r="P43" i="37" s="1"/>
  <c r="L42" i="37"/>
  <c r="P42" i="37" s="1"/>
  <c r="Q42" i="37" s="1"/>
  <c r="H41" i="37"/>
  <c r="F41" i="37"/>
  <c r="H40" i="37"/>
  <c r="F40" i="37"/>
  <c r="L39" i="37"/>
  <c r="G39" i="37"/>
  <c r="G20" i="37" s="1"/>
  <c r="Q37" i="37"/>
  <c r="R37" i="37" s="1"/>
  <c r="U36" i="37" s="1"/>
  <c r="P36" i="37"/>
  <c r="L35" i="37"/>
  <c r="P35" i="37" s="1"/>
  <c r="Q35" i="37" s="1"/>
  <c r="R35" i="37" s="1"/>
  <c r="U34" i="37" s="1"/>
  <c r="L34" i="37"/>
  <c r="P34" i="37" s="1"/>
  <c r="L32" i="37"/>
  <c r="P32" i="37" s="1"/>
  <c r="L31" i="37"/>
  <c r="F30" i="37"/>
  <c r="L30" i="37" s="1"/>
  <c r="L29" i="37"/>
  <c r="G29" i="37"/>
  <c r="P29" i="37" s="1"/>
  <c r="F28" i="37"/>
  <c r="L26" i="37"/>
  <c r="P26" i="37" s="1"/>
  <c r="L25" i="37"/>
  <c r="P25" i="37" s="1"/>
  <c r="H24" i="37"/>
  <c r="F24" i="37"/>
  <c r="L24" i="37" s="1"/>
  <c r="E24" i="37"/>
  <c r="D24" i="37"/>
  <c r="H23" i="37"/>
  <c r="F23" i="37"/>
  <c r="L22" i="37"/>
  <c r="D22" i="37"/>
  <c r="P15" i="37"/>
  <c r="Q15" i="37" s="1"/>
  <c r="R14" i="37"/>
  <c r="I14" i="37"/>
  <c r="H12" i="37"/>
  <c r="I11" i="37"/>
  <c r="M10" i="37"/>
  <c r="M9" i="37"/>
  <c r="O7" i="37"/>
  <c r="P7" i="37" s="1"/>
  <c r="I6" i="37"/>
  <c r="L23" i="37" l="1"/>
  <c r="P23" i="37" s="1"/>
  <c r="L50" i="37"/>
  <c r="P50" i="37" s="1"/>
  <c r="M11" i="37"/>
  <c r="N11" i="37" s="1"/>
  <c r="P39" i="37"/>
  <c r="G51" i="37"/>
  <c r="P51" i="37" s="1"/>
  <c r="L60" i="37"/>
  <c r="P60" i="37" s="1"/>
  <c r="Q60" i="37" s="1"/>
  <c r="R60" i="37" s="1"/>
  <c r="U60" i="37" s="1"/>
  <c r="L66" i="37"/>
  <c r="P66" i="37" s="1"/>
  <c r="L41" i="37"/>
  <c r="P41" i="37" s="1"/>
  <c r="Q41" i="37" s="1"/>
  <c r="R41" i="37" s="1"/>
  <c r="U41" i="37" s="1"/>
  <c r="R97" i="37"/>
  <c r="L33" i="37"/>
  <c r="P33" i="37" s="1"/>
  <c r="Q33" i="37" s="1"/>
  <c r="R33" i="37" s="1"/>
  <c r="U32" i="37" s="1"/>
  <c r="L40" i="37"/>
  <c r="L27" i="37"/>
  <c r="P27" i="37" s="1"/>
  <c r="Q27" i="37" s="1"/>
  <c r="R27" i="37" s="1"/>
  <c r="U26" i="37" s="1"/>
  <c r="G31" i="37"/>
  <c r="P31" i="37" s="1"/>
  <c r="Q31" i="37" s="1"/>
  <c r="R31" i="37" s="1"/>
  <c r="U30" i="37" s="1"/>
  <c r="R109" i="37"/>
  <c r="V100" i="37"/>
  <c r="V109" i="37" s="1"/>
  <c r="V93" i="37"/>
  <c r="V97" i="37" s="1"/>
  <c r="G30" i="37"/>
  <c r="P30" i="37" s="1"/>
  <c r="P28" i="37" s="1"/>
  <c r="L63" i="37"/>
  <c r="P63" i="37" s="1"/>
  <c r="L49" i="37"/>
  <c r="P49" i="37" s="1"/>
  <c r="Q49" i="37" s="1"/>
  <c r="R49" i="37" s="1"/>
  <c r="U49" i="37" s="1"/>
  <c r="Q26" i="37"/>
  <c r="R26" i="37" s="1"/>
  <c r="U25" i="37" s="1"/>
  <c r="Q50" i="37"/>
  <c r="R50" i="37" s="1"/>
  <c r="U50" i="37" s="1"/>
  <c r="R88" i="37"/>
  <c r="AB113" i="37"/>
  <c r="AB114" i="37" s="1"/>
  <c r="Q51" i="37"/>
  <c r="R51" i="37" s="1"/>
  <c r="U51" i="37" s="1"/>
  <c r="X112" i="37"/>
  <c r="X109" i="37"/>
  <c r="Q61" i="37"/>
  <c r="R61" i="37" s="1"/>
  <c r="U61" i="37" s="1"/>
  <c r="Q43" i="37"/>
  <c r="R43" i="37" s="1"/>
  <c r="U43" i="37" s="1"/>
  <c r="Q39" i="37"/>
  <c r="Q29" i="37"/>
  <c r="R29" i="37" s="1"/>
  <c r="Q66" i="37"/>
  <c r="R66" i="37" s="1"/>
  <c r="U66" i="37" s="1"/>
  <c r="Q52" i="37"/>
  <c r="R52" i="37" s="1"/>
  <c r="U52" i="37" s="1"/>
  <c r="Q62" i="37"/>
  <c r="R62" i="37" s="1"/>
  <c r="U62" i="37" s="1"/>
  <c r="Y109" i="37"/>
  <c r="Y112" i="37"/>
  <c r="L65" i="37"/>
  <c r="P65" i="37" s="1"/>
  <c r="Q23" i="37"/>
  <c r="R23" i="37" s="1"/>
  <c r="U22" i="37" s="1"/>
  <c r="Q32" i="37"/>
  <c r="R32" i="37" s="1"/>
  <c r="U31" i="37" s="1"/>
  <c r="Q34" i="37"/>
  <c r="R34" i="37" s="1"/>
  <c r="U33" i="37" s="1"/>
  <c r="P40" i="37"/>
  <c r="Q48" i="37"/>
  <c r="R48" i="37" s="1"/>
  <c r="P24" i="37"/>
  <c r="M22" i="37"/>
  <c r="N22" i="37" s="1"/>
  <c r="N71" i="37" s="1"/>
  <c r="N55" i="37"/>
  <c r="L55" i="37"/>
  <c r="P55" i="37" s="1"/>
  <c r="Q63" i="37"/>
  <c r="R63" i="37" s="1"/>
  <c r="U63" i="37" s="1"/>
  <c r="Q70" i="37"/>
  <c r="R70" i="37" s="1"/>
  <c r="U69" i="37" s="1"/>
  <c r="Q56" i="37"/>
  <c r="R56" i="37" s="1"/>
  <c r="U56" i="37" s="1"/>
  <c r="Z109" i="37"/>
  <c r="AA109" i="37"/>
  <c r="AA112" i="37" s="1"/>
  <c r="Z112" i="37"/>
  <c r="R42" i="37"/>
  <c r="U42" i="37" s="1"/>
  <c r="W82" i="37"/>
  <c r="W88" i="37" s="1"/>
  <c r="L37" i="37"/>
  <c r="F57" i="37"/>
  <c r="L57" i="37" s="1"/>
  <c r="P69" i="37"/>
  <c r="O9" i="37"/>
  <c r="P22" i="37"/>
  <c r="Q36" i="37"/>
  <c r="R36" i="37" s="1"/>
  <c r="U35" i="37" s="1"/>
  <c r="P59" i="37"/>
  <c r="Q25" i="37"/>
  <c r="R25" i="37" s="1"/>
  <c r="U24" i="37" s="1"/>
  <c r="L54" i="37"/>
  <c r="M59" i="37" l="1"/>
  <c r="N59" i="37" s="1"/>
  <c r="O59" i="37" s="1"/>
  <c r="R111" i="37"/>
  <c r="Q30" i="37"/>
  <c r="R30" i="37" s="1"/>
  <c r="U29" i="37" s="1"/>
  <c r="L44" i="37"/>
  <c r="P44" i="37" s="1"/>
  <c r="L53" i="37"/>
  <c r="P53" i="37" s="1"/>
  <c r="V112" i="37"/>
  <c r="V113" i="37" s="1"/>
  <c r="M39" i="37"/>
  <c r="P14" i="37" s="1"/>
  <c r="P16" i="37" s="1"/>
  <c r="P38" i="37"/>
  <c r="M48" i="37"/>
  <c r="N48" i="37" s="1"/>
  <c r="U28" i="37"/>
  <c r="U37" i="37" s="1"/>
  <c r="X113" i="37"/>
  <c r="X114" i="37" s="1"/>
  <c r="Q24" i="37"/>
  <c r="R24" i="37" s="1"/>
  <c r="U23" i="37" s="1"/>
  <c r="Q55" i="37"/>
  <c r="R55" i="37" s="1"/>
  <c r="U55" i="37" s="1"/>
  <c r="P54" i="37"/>
  <c r="N54" i="37"/>
  <c r="Q53" i="37"/>
  <c r="AB115" i="37"/>
  <c r="AB116" i="37" s="1"/>
  <c r="Q28" i="37"/>
  <c r="Q59" i="37"/>
  <c r="P58" i="37"/>
  <c r="U48" i="37"/>
  <c r="R39" i="37"/>
  <c r="Q69" i="37"/>
  <c r="Q68" i="37" s="1"/>
  <c r="Q67" i="37" s="1"/>
  <c r="P68" i="37"/>
  <c r="P67" i="37" s="1"/>
  <c r="P57" i="37"/>
  <c r="N57" i="37"/>
  <c r="W112" i="37"/>
  <c r="W109" i="37"/>
  <c r="P21" i="37"/>
  <c r="P20" i="37" s="1"/>
  <c r="Q22" i="37"/>
  <c r="Z113" i="37"/>
  <c r="Z114" i="37" s="1"/>
  <c r="M68" i="37"/>
  <c r="M38" i="37"/>
  <c r="Q65" i="37"/>
  <c r="R65" i="37" s="1"/>
  <c r="U65" i="37" s="1"/>
  <c r="Q44" i="37"/>
  <c r="AA113" i="37"/>
  <c r="AA114" i="37" s="1"/>
  <c r="AA115" i="37" s="1"/>
  <c r="Q40" i="37"/>
  <c r="R40" i="37" s="1"/>
  <c r="U40" i="37" s="1"/>
  <c r="Y113" i="37"/>
  <c r="Y114" i="37" s="1"/>
  <c r="R28" i="37" l="1"/>
  <c r="V114" i="37"/>
  <c r="V115" i="37" s="1"/>
  <c r="V116" i="37" s="1"/>
  <c r="Q38" i="37"/>
  <c r="P47" i="37"/>
  <c r="P46" i="37" s="1"/>
  <c r="P71" i="37" s="1"/>
  <c r="R69" i="37"/>
  <c r="U68" i="37" s="1"/>
  <c r="U70" i="37" s="1"/>
  <c r="N39" i="37"/>
  <c r="N38" i="37" s="1"/>
  <c r="N68" i="37" s="1"/>
  <c r="R44" i="37"/>
  <c r="U44" i="37" s="1"/>
  <c r="Q21" i="37"/>
  <c r="Z115" i="37"/>
  <c r="Z116" i="37" s="1"/>
  <c r="X115" i="37"/>
  <c r="X116" i="37" s="1"/>
  <c r="R53" i="37"/>
  <c r="Q58" i="37"/>
  <c r="Q57" i="37"/>
  <c r="R57" i="37" s="1"/>
  <c r="U57" i="37" s="1"/>
  <c r="R22" i="37"/>
  <c r="R59" i="37"/>
  <c r="Q54" i="37"/>
  <c r="R54" i="37" s="1"/>
  <c r="U54" i="37" s="1"/>
  <c r="Q20" i="37"/>
  <c r="Y115" i="37"/>
  <c r="Y116" i="37" s="1"/>
  <c r="W113" i="37"/>
  <c r="W114" i="37" s="1"/>
  <c r="W115" i="37" s="1"/>
  <c r="U39" i="37"/>
  <c r="U47" i="37" l="1"/>
  <c r="Q47" i="37"/>
  <c r="Q46" i="37" s="1"/>
  <c r="Q71" i="37" s="1"/>
  <c r="R68" i="37"/>
  <c r="R67" i="37" s="1"/>
  <c r="O39" i="37"/>
  <c r="O38" i="37" s="1"/>
  <c r="R38" i="37"/>
  <c r="U53" i="37"/>
  <c r="U58" i="37" s="1"/>
  <c r="R47" i="37"/>
  <c r="R21" i="37"/>
  <c r="U21" i="37"/>
  <c r="U27" i="37" s="1"/>
  <c r="N74" i="37"/>
  <c r="N75" i="37"/>
  <c r="P76" i="37"/>
  <c r="P77" i="37" s="1"/>
  <c r="N76" i="37"/>
  <c r="P74" i="37"/>
  <c r="P75" i="37"/>
  <c r="R75" i="37" s="1"/>
  <c r="U74" i="37" s="1"/>
  <c r="U59" i="37"/>
  <c r="U67" i="37" s="1"/>
  <c r="R58" i="37"/>
  <c r="R20" i="37" l="1"/>
  <c r="U71" i="37"/>
  <c r="Q77" i="37"/>
  <c r="R77" i="37" s="1"/>
  <c r="U76" i="37" s="1"/>
  <c r="Q76" i="37"/>
  <c r="R76" i="37" s="1"/>
  <c r="U75" i="37" s="1"/>
  <c r="R46" i="37"/>
  <c r="R71" i="37" s="1"/>
  <c r="N78" i="37"/>
  <c r="P78" i="37"/>
  <c r="P79" i="37" s="1"/>
  <c r="Q74" i="37"/>
  <c r="Q78" i="37" l="1"/>
  <c r="Q79" i="37" s="1"/>
  <c r="R74" i="37"/>
  <c r="R78" i="37" l="1"/>
  <c r="U73" i="37"/>
  <c r="U77" i="37" s="1"/>
  <c r="U78" i="37" s="1"/>
  <c r="U109" i="37" s="1"/>
  <c r="U112" i="37" l="1"/>
  <c r="T109" i="37"/>
  <c r="R90" i="37"/>
  <c r="R79" i="37"/>
  <c r="R112" i="37" s="1"/>
  <c r="G114" i="37" l="1"/>
  <c r="R114" i="37" s="1"/>
  <c r="G115" i="37" s="1"/>
  <c r="R115" i="37" s="1"/>
  <c r="T112" i="37"/>
  <c r="U113" i="37"/>
  <c r="U114" i="37" s="1"/>
  <c r="U115" i="37" l="1"/>
  <c r="U116" i="37" s="1"/>
  <c r="T116" i="37" s="1"/>
  <c r="R116" i="37"/>
  <c r="R117" i="37" s="1"/>
  <c r="R118" i="37" l="1"/>
  <c r="R119" i="37" s="1"/>
  <c r="G118" i="37"/>
  <c r="H67" i="24" l="1"/>
  <c r="I104" i="24"/>
  <c r="J104" i="24" s="1"/>
  <c r="F102" i="24"/>
  <c r="M94" i="24"/>
  <c r="Q94" i="24" s="1"/>
  <c r="M114" i="24"/>
  <c r="M113" i="24" s="1"/>
  <c r="R94" i="24" l="1"/>
  <c r="S94" i="24" s="1"/>
  <c r="Q115" i="24"/>
  <c r="Q114" i="24"/>
  <c r="V94" i="24" l="1"/>
  <c r="Q113" i="24"/>
  <c r="R114" i="24"/>
  <c r="S114" i="24" s="1"/>
  <c r="V114" i="24" s="1"/>
  <c r="R115" i="24"/>
  <c r="R113" i="24" s="1"/>
  <c r="M115" i="24"/>
  <c r="S115" i="24" l="1"/>
  <c r="R112" i="24"/>
  <c r="Y178" i="24"/>
  <c r="Z174" i="24"/>
  <c r="Y174" i="24" s="1"/>
  <c r="Z175" i="24"/>
  <c r="Y175" i="24" s="1"/>
  <c r="Z176" i="24"/>
  <c r="Y176" i="24" s="1"/>
  <c r="Z177" i="24"/>
  <c r="Y177" i="24" s="1"/>
  <c r="S113" i="24" l="1"/>
  <c r="V115" i="24"/>
  <c r="V116" i="24" s="1"/>
  <c r="Y179" i="24"/>
  <c r="H127" i="24"/>
  <c r="S112" i="24" l="1"/>
  <c r="T113" i="24"/>
  <c r="AB133" i="24"/>
  <c r="AB161" i="24"/>
  <c r="S131" i="24"/>
  <c r="W178" i="24"/>
  <c r="F13" i="31"/>
  <c r="W175" i="24" s="1"/>
  <c r="F17" i="31"/>
  <c r="W177" i="24" s="1"/>
  <c r="F18" i="31"/>
  <c r="H12" i="31" l="1"/>
  <c r="H18" i="31"/>
  <c r="H14" i="31" l="1"/>
  <c r="F14" i="31"/>
  <c r="W176" i="24" s="1"/>
  <c r="H13" i="31"/>
  <c r="F12" i="31"/>
  <c r="F19" i="31" l="1"/>
  <c r="H19" i="31"/>
  <c r="H128" i="24" l="1"/>
  <c r="H129" i="24"/>
  <c r="H130" i="24"/>
  <c r="W137" i="24" l="1"/>
  <c r="S128" i="24" l="1"/>
  <c r="Y127" i="24" l="1"/>
  <c r="Y133" i="24" s="1"/>
  <c r="Y163" i="24" s="1"/>
  <c r="Y165" i="24" l="1"/>
  <c r="Y166" i="24" s="1"/>
  <c r="Q112" i="24"/>
  <c r="Y168" i="24" l="1"/>
  <c r="Y169" i="24" l="1"/>
  <c r="F49" i="24"/>
  <c r="G50" i="24"/>
  <c r="L58" i="33"/>
  <c r="L59" i="33"/>
  <c r="S153" i="24"/>
  <c r="W152" i="24" s="1"/>
  <c r="S154" i="24"/>
  <c r="W153" i="24" s="1"/>
  <c r="S155" i="24"/>
  <c r="W154" i="24" s="1"/>
  <c r="S156" i="24"/>
  <c r="W155" i="24" s="1"/>
  <c r="S157" i="24"/>
  <c r="W156" i="24" s="1"/>
  <c r="S158" i="24"/>
  <c r="W157" i="24" s="1"/>
  <c r="S152" i="24"/>
  <c r="S130" i="24"/>
  <c r="AA129" i="24" s="1"/>
  <c r="AA133" i="24" s="1"/>
  <c r="AA163" i="24" s="1"/>
  <c r="S129" i="24"/>
  <c r="Z128" i="24" s="1"/>
  <c r="AA165" i="24" l="1"/>
  <c r="AA166" i="24" s="1"/>
  <c r="W151" i="24"/>
  <c r="F98" i="24"/>
  <c r="F89" i="24"/>
  <c r="M104" i="24"/>
  <c r="Q104" i="24" s="1"/>
  <c r="M109" i="24"/>
  <c r="Q109" i="24" s="1"/>
  <c r="M106" i="24"/>
  <c r="M103" i="24"/>
  <c r="M100" i="24"/>
  <c r="M99" i="24"/>
  <c r="Q99" i="24" s="1"/>
  <c r="H96" i="24"/>
  <c r="M96" i="24" s="1"/>
  <c r="Q96" i="24" s="1"/>
  <c r="Q95" i="24" s="1"/>
  <c r="F96" i="24"/>
  <c r="F93" i="24"/>
  <c r="M93" i="24" s="1"/>
  <c r="Q93" i="24" s="1"/>
  <c r="H92" i="24"/>
  <c r="F92" i="24"/>
  <c r="F85" i="24"/>
  <c r="M86" i="24"/>
  <c r="Q86" i="24" s="1"/>
  <c r="G49" i="24"/>
  <c r="F20" i="24"/>
  <c r="F52" i="24"/>
  <c r="M55" i="24"/>
  <c r="Q55" i="24" s="1"/>
  <c r="R109" i="24" l="1"/>
  <c r="S109" i="24" s="1"/>
  <c r="V109" i="24" s="1"/>
  <c r="R93" i="24"/>
  <c r="S93" i="24"/>
  <c r="V93" i="24" s="1"/>
  <c r="R55" i="24"/>
  <c r="S55" i="24" s="1"/>
  <c r="V55" i="24" s="1"/>
  <c r="AA168" i="24"/>
  <c r="AA169" i="24" s="1"/>
  <c r="M95" i="24"/>
  <c r="M105" i="24"/>
  <c r="Q105" i="24" s="1"/>
  <c r="M107" i="24"/>
  <c r="M92" i="24"/>
  <c r="Q92" i="24" s="1"/>
  <c r="Q103" i="24"/>
  <c r="Q100" i="24"/>
  <c r="M101" i="24"/>
  <c r="Q101" i="24" s="1"/>
  <c r="M102" i="24"/>
  <c r="Q102" i="24" s="1"/>
  <c r="R96" i="24"/>
  <c r="R86" i="24"/>
  <c r="S86" i="24" s="1"/>
  <c r="M22" i="24"/>
  <c r="M66" i="24"/>
  <c r="Q66" i="24" s="1"/>
  <c r="G73" i="24"/>
  <c r="G62" i="24"/>
  <c r="G51" i="24"/>
  <c r="G37" i="24"/>
  <c r="M25" i="24"/>
  <c r="F46" i="24"/>
  <c r="F84" i="24"/>
  <c r="H85" i="24"/>
  <c r="M85" i="24" s="1"/>
  <c r="H84" i="24"/>
  <c r="M83" i="24"/>
  <c r="F79" i="24"/>
  <c r="M79" i="24" s="1"/>
  <c r="Q79" i="24" s="1"/>
  <c r="F75" i="24"/>
  <c r="H75" i="24"/>
  <c r="H74" i="24"/>
  <c r="M73" i="24"/>
  <c r="F74" i="24"/>
  <c r="H53" i="24"/>
  <c r="F53" i="24"/>
  <c r="F39" i="24"/>
  <c r="F38" i="24"/>
  <c r="F64" i="24"/>
  <c r="F63" i="24"/>
  <c r="H64" i="24"/>
  <c r="H63" i="24"/>
  <c r="M62" i="24"/>
  <c r="H56" i="24"/>
  <c r="F56" i="24"/>
  <c r="F59" i="24" s="1"/>
  <c r="H57" i="24"/>
  <c r="H52" i="24"/>
  <c r="M51" i="24"/>
  <c r="H30" i="24"/>
  <c r="H38" i="24"/>
  <c r="F34" i="24"/>
  <c r="M29" i="24"/>
  <c r="H31" i="24"/>
  <c r="H39" i="24"/>
  <c r="M37" i="24"/>
  <c r="H24" i="24"/>
  <c r="H23" i="24"/>
  <c r="F88" i="24"/>
  <c r="D28" i="34"/>
  <c r="D4" i="34"/>
  <c r="D5" i="34"/>
  <c r="D6" i="34"/>
  <c r="D7" i="34"/>
  <c r="D8" i="34"/>
  <c r="D9" i="34"/>
  <c r="D10" i="34"/>
  <c r="D11" i="34"/>
  <c r="D3" i="34"/>
  <c r="B19" i="34"/>
  <c r="V86" i="24" l="1"/>
  <c r="S96" i="24"/>
  <c r="V96" i="24" s="1"/>
  <c r="V97" i="24" s="1"/>
  <c r="R95" i="24"/>
  <c r="H88" i="24"/>
  <c r="M84" i="24"/>
  <c r="M87" i="24" s="1"/>
  <c r="M82" i="24" s="1"/>
  <c r="Q73" i="24"/>
  <c r="R100" i="24"/>
  <c r="S100" i="24" s="1"/>
  <c r="R105" i="24"/>
  <c r="R104" i="24"/>
  <c r="R101" i="24"/>
  <c r="S101" i="24" s="1"/>
  <c r="R102" i="24"/>
  <c r="S102" i="24" s="1"/>
  <c r="Q62" i="24"/>
  <c r="R66" i="24"/>
  <c r="M63" i="24"/>
  <c r="Q63" i="24" s="1"/>
  <c r="M75" i="24"/>
  <c r="M39" i="24"/>
  <c r="Q39" i="24" s="1"/>
  <c r="M74" i="24"/>
  <c r="M53" i="24"/>
  <c r="Q53" i="24" s="1"/>
  <c r="M64" i="24"/>
  <c r="Q64" i="24" s="1"/>
  <c r="Q51" i="24"/>
  <c r="M38" i="24"/>
  <c r="Q38" i="24" s="1"/>
  <c r="Q85" i="24"/>
  <c r="M52" i="24"/>
  <c r="Q52" i="24" s="1"/>
  <c r="F57" i="24"/>
  <c r="M88" i="24"/>
  <c r="Q88" i="24" s="1"/>
  <c r="B15" i="34"/>
  <c r="S104" i="24" l="1"/>
  <c r="V104" i="24" s="1"/>
  <c r="V101" i="24"/>
  <c r="V100" i="24"/>
  <c r="S95" i="24"/>
  <c r="T95" i="24" s="1"/>
  <c r="Q87" i="24"/>
  <c r="S105" i="24"/>
  <c r="V105" i="24" s="1"/>
  <c r="V102" i="24"/>
  <c r="S66" i="24"/>
  <c r="V66" i="24" s="1"/>
  <c r="Q84" i="24"/>
  <c r="R84" i="24" s="1"/>
  <c r="R88" i="24"/>
  <c r="R85" i="24"/>
  <c r="S85" i="24" s="1"/>
  <c r="B16" i="34"/>
  <c r="R87" i="24" l="1"/>
  <c r="S88" i="24"/>
  <c r="V88" i="24" s="1"/>
  <c r="S84" i="24"/>
  <c r="V84" i="24" s="1"/>
  <c r="V85" i="24"/>
  <c r="B17" i="34"/>
  <c r="B18" i="34" s="1"/>
  <c r="B20" i="34" s="1"/>
  <c r="S87" i="24" l="1"/>
  <c r="V87" i="24" s="1"/>
  <c r="M91" i="24"/>
  <c r="M90" i="24" s="1"/>
  <c r="M60" i="33"/>
  <c r="F78" i="24"/>
  <c r="F80" i="24" s="1"/>
  <c r="E64" i="24"/>
  <c r="E52" i="24"/>
  <c r="E63" i="24"/>
  <c r="B119" i="24"/>
  <c r="M57" i="24"/>
  <c r="Q57" i="24" s="1"/>
  <c r="M78" i="24"/>
  <c r="M77" i="24"/>
  <c r="Q77" i="24" s="1"/>
  <c r="M76" i="24"/>
  <c r="F69" i="24"/>
  <c r="Q68" i="24"/>
  <c r="M67" i="24"/>
  <c r="Q67" i="24" s="1"/>
  <c r="M54" i="24"/>
  <c r="M65" i="24"/>
  <c r="M61" i="24" s="1"/>
  <c r="K65" i="33"/>
  <c r="G83" i="24"/>
  <c r="Q83" i="24" s="1"/>
  <c r="M56" i="24"/>
  <c r="Q56" i="24" s="1"/>
  <c r="F45" i="24"/>
  <c r="M44" i="24"/>
  <c r="G44" i="24"/>
  <c r="M41" i="24"/>
  <c r="G29" i="24"/>
  <c r="G31" i="24" s="1"/>
  <c r="F33" i="24"/>
  <c r="M33" i="24" s="1"/>
  <c r="F31" i="24"/>
  <c r="M31" i="24" s="1"/>
  <c r="F30" i="24"/>
  <c r="M30" i="24" s="1"/>
  <c r="H32" i="24"/>
  <c r="H46" i="24"/>
  <c r="L65" i="33" l="1"/>
  <c r="Q76" i="24"/>
  <c r="Q82" i="24"/>
  <c r="Q91" i="24"/>
  <c r="Q65" i="24"/>
  <c r="Q71" i="24"/>
  <c r="H40" i="24"/>
  <c r="M32" i="24"/>
  <c r="Q41" i="24"/>
  <c r="R83" i="24"/>
  <c r="R82" i="24" s="1"/>
  <c r="R77" i="24"/>
  <c r="S77" i="24" s="1"/>
  <c r="M34" i="24"/>
  <c r="Q44" i="24"/>
  <c r="M46" i="24"/>
  <c r="Q46" i="24" s="1"/>
  <c r="Q29" i="24"/>
  <c r="G30" i="24"/>
  <c r="Q31" i="24"/>
  <c r="G34" i="24"/>
  <c r="G33" i="24"/>
  <c r="Q33" i="24" s="1"/>
  <c r="G32" i="24"/>
  <c r="K73" i="33"/>
  <c r="L73" i="33" s="1"/>
  <c r="M26" i="24"/>
  <c r="Q26" i="24" s="1"/>
  <c r="Q25" i="24"/>
  <c r="F23" i="24"/>
  <c r="M23" i="24" s="1"/>
  <c r="K67" i="33"/>
  <c r="L67" i="33" s="1"/>
  <c r="M57" i="33"/>
  <c r="M59" i="33"/>
  <c r="M58" i="33"/>
  <c r="N58" i="33" s="1"/>
  <c r="H8" i="31"/>
  <c r="H9" i="31" s="1"/>
  <c r="H22" i="31" s="1"/>
  <c r="M67" i="33" l="1"/>
  <c r="M73" i="33"/>
  <c r="N73" i="33" s="1"/>
  <c r="N74" i="33" s="1"/>
  <c r="Q90" i="24"/>
  <c r="Q89" i="24" s="1"/>
  <c r="S83" i="24"/>
  <c r="V83" i="24" s="1"/>
  <c r="V89" i="24" s="1"/>
  <c r="N67" i="33"/>
  <c r="N69" i="33" s="1"/>
  <c r="N71" i="33" s="1"/>
  <c r="R25" i="24"/>
  <c r="S25" i="24" s="1"/>
  <c r="V25" i="24" s="1"/>
  <c r="M28" i="24"/>
  <c r="R26" i="24"/>
  <c r="S26" i="24" s="1"/>
  <c r="V26" i="24" s="1"/>
  <c r="M65" i="33"/>
  <c r="N65" i="33" s="1"/>
  <c r="N59" i="33"/>
  <c r="N79" i="33"/>
  <c r="N80" i="33" s="1"/>
  <c r="K79" i="33"/>
  <c r="N57" i="33"/>
  <c r="O60" i="33"/>
  <c r="O61" i="33" s="1"/>
  <c r="R71" i="24"/>
  <c r="S71" i="24" s="1"/>
  <c r="R44" i="24"/>
  <c r="V77" i="24"/>
  <c r="R31" i="24"/>
  <c r="R41" i="24"/>
  <c r="S41" i="24" s="1"/>
  <c r="R29" i="24"/>
  <c r="S29" i="24" s="1"/>
  <c r="H47" i="24"/>
  <c r="M47" i="24" s="1"/>
  <c r="Q47" i="24" s="1"/>
  <c r="M40" i="24"/>
  <c r="Q30" i="24"/>
  <c r="Q34" i="24"/>
  <c r="R46" i="24"/>
  <c r="Q32" i="24"/>
  <c r="R48" i="24"/>
  <c r="S48" i="24" s="1"/>
  <c r="H45" i="24"/>
  <c r="M45" i="24" s="1"/>
  <c r="R33" i="24"/>
  <c r="S33" i="24" s="1"/>
  <c r="Q23" i="24"/>
  <c r="R23" i="24" s="1"/>
  <c r="S23" i="24" s="1"/>
  <c r="N70" i="33"/>
  <c r="Q22" i="24"/>
  <c r="F70" i="32"/>
  <c r="H69" i="32"/>
  <c r="D67" i="32"/>
  <c r="F67" i="32"/>
  <c r="F55" i="32"/>
  <c r="F39" i="32"/>
  <c r="H43" i="32"/>
  <c r="H42" i="32"/>
  <c r="H41" i="32"/>
  <c r="H40" i="32"/>
  <c r="D39" i="32"/>
  <c r="F34" i="32"/>
  <c r="F29" i="32"/>
  <c r="F26" i="32"/>
  <c r="G22" i="32"/>
  <c r="H17" i="32"/>
  <c r="G17" i="32"/>
  <c r="D15" i="32"/>
  <c r="H14" i="32"/>
  <c r="G14" i="32"/>
  <c r="H13" i="32"/>
  <c r="G13" i="32"/>
  <c r="H12" i="32"/>
  <c r="G12" i="32"/>
  <c r="F10" i="32"/>
  <c r="G8" i="32"/>
  <c r="F8" i="32"/>
  <c r="S82" i="24" l="1"/>
  <c r="T82" i="24" s="1"/>
  <c r="G16" i="32"/>
  <c r="S44" i="24"/>
  <c r="V44" i="24" s="1"/>
  <c r="S31" i="24"/>
  <c r="V31" i="24" s="1"/>
  <c r="V33" i="24"/>
  <c r="N75" i="33"/>
  <c r="N76" i="33"/>
  <c r="V41" i="24"/>
  <c r="S46" i="24"/>
  <c r="V46" i="24" s="1"/>
  <c r="Q45" i="24"/>
  <c r="Q43" i="24" s="1"/>
  <c r="M43" i="24"/>
  <c r="N43" i="24" s="1"/>
  <c r="O43" i="24" s="1"/>
  <c r="P43" i="24" s="1"/>
  <c r="N82" i="33"/>
  <c r="N81" i="33"/>
  <c r="Q35" i="24"/>
  <c r="R34" i="24"/>
  <c r="R30" i="24"/>
  <c r="S30" i="24" s="1"/>
  <c r="R32" i="24"/>
  <c r="R47" i="24"/>
  <c r="S47" i="24" s="1"/>
  <c r="V71" i="24"/>
  <c r="Q40" i="24"/>
  <c r="M42" i="24"/>
  <c r="Q42" i="24" s="1"/>
  <c r="V23" i="24"/>
  <c r="R22" i="24"/>
  <c r="F16" i="32"/>
  <c r="F28" i="32" s="1"/>
  <c r="F33" i="32" s="1"/>
  <c r="F38" i="32" s="1"/>
  <c r="F65" i="32"/>
  <c r="H64" i="32"/>
  <c r="H68" i="32"/>
  <c r="D70" i="32"/>
  <c r="S34" i="24" l="1"/>
  <c r="V34" i="24" s="1"/>
  <c r="V47" i="24"/>
  <c r="R45" i="24"/>
  <c r="R43" i="24" s="1"/>
  <c r="S45" i="24"/>
  <c r="S32" i="24"/>
  <c r="V32" i="24" s="1"/>
  <c r="V29" i="24"/>
  <c r="M36" i="24"/>
  <c r="R35" i="24"/>
  <c r="Q28" i="24"/>
  <c r="R42" i="24"/>
  <c r="S42" i="24" s="1"/>
  <c r="V30" i="24"/>
  <c r="S22" i="24"/>
  <c r="F66" i="32"/>
  <c r="F71" i="32" s="1"/>
  <c r="F72" i="32" s="1"/>
  <c r="F73" i="32" s="1"/>
  <c r="S35" i="24" l="1"/>
  <c r="V35" i="24" s="1"/>
  <c r="V36" i="24" s="1"/>
  <c r="V42" i="24"/>
  <c r="R28" i="24"/>
  <c r="V22" i="24"/>
  <c r="V45" i="24"/>
  <c r="V48" i="24" s="1"/>
  <c r="S43" i="24"/>
  <c r="T43" i="24" s="1"/>
  <c r="F74" i="32"/>
  <c r="S28" i="24" l="1"/>
  <c r="T28" i="24" s="1"/>
  <c r="Z133" i="24" l="1"/>
  <c r="Z163" i="24" l="1"/>
  <c r="D39" i="20"/>
  <c r="H41" i="20"/>
  <c r="H42" i="20"/>
  <c r="H43" i="20"/>
  <c r="H40" i="20"/>
  <c r="H17" i="20"/>
  <c r="H12" i="20"/>
  <c r="H13" i="20"/>
  <c r="D15" i="20"/>
  <c r="F26" i="20"/>
  <c r="F10" i="20"/>
  <c r="F67" i="20"/>
  <c r="F16" i="20"/>
  <c r="F70" i="20"/>
  <c r="H64" i="20"/>
  <c r="G8" i="20"/>
  <c r="F8" i="20"/>
  <c r="F39" i="20"/>
  <c r="Z165" i="24" l="1"/>
  <c r="Z166" i="24" s="1"/>
  <c r="Z168" i="24" s="1"/>
  <c r="F55" i="20"/>
  <c r="F28" i="20"/>
  <c r="F65" i="20" l="1"/>
  <c r="Z169" i="24" l="1"/>
  <c r="H23" i="31"/>
  <c r="H24" i="31" s="1"/>
  <c r="F34" i="20"/>
  <c r="F38" i="8" l="1"/>
  <c r="S162" i="24"/>
  <c r="AC161" i="24" s="1"/>
  <c r="AC163" i="24" s="1"/>
  <c r="AB163" i="24" l="1"/>
  <c r="D56" i="32"/>
  <c r="D56" i="20"/>
  <c r="O95" i="24"/>
  <c r="S58" i="25"/>
  <c r="N57" i="25"/>
  <c r="G57" i="25"/>
  <c r="AB168" i="24" l="1"/>
  <c r="AB169" i="24" s="1"/>
  <c r="U112" i="25"/>
  <c r="Z130" i="25"/>
  <c r="Z129" i="25"/>
  <c r="Z128" i="25"/>
  <c r="AC122" i="25"/>
  <c r="AC123" i="25" s="1"/>
  <c r="Z114" i="25"/>
  <c r="Z117" i="25" s="1"/>
  <c r="U111" i="25"/>
  <c r="Q111" i="25"/>
  <c r="U110" i="25"/>
  <c r="U109" i="25"/>
  <c r="U108" i="25"/>
  <c r="Q108" i="25"/>
  <c r="U107" i="25"/>
  <c r="Q107" i="25"/>
  <c r="U106" i="25"/>
  <c r="Q106" i="25"/>
  <c r="U105" i="25"/>
  <c r="Q105" i="25"/>
  <c r="U104" i="25"/>
  <c r="Q104" i="25"/>
  <c r="Y101" i="25"/>
  <c r="W101" i="25" s="1"/>
  <c r="U100" i="25"/>
  <c r="Q100" i="25"/>
  <c r="U99" i="25"/>
  <c r="Q99" i="25"/>
  <c r="U98" i="25"/>
  <c r="Q98" i="25"/>
  <c r="U97" i="25"/>
  <c r="U96" i="25"/>
  <c r="U95" i="25"/>
  <c r="U94" i="25"/>
  <c r="U93" i="25"/>
  <c r="U92" i="25"/>
  <c r="U91" i="25"/>
  <c r="U90" i="25"/>
  <c r="Q90" i="25"/>
  <c r="U89" i="25"/>
  <c r="U88" i="25"/>
  <c r="U87" i="25"/>
  <c r="H81" i="25"/>
  <c r="U81" i="25" s="1"/>
  <c r="AB81" i="25" s="1"/>
  <c r="Q80" i="25"/>
  <c r="Q82" i="25" s="1"/>
  <c r="H80" i="25"/>
  <c r="U80" i="25" s="1"/>
  <c r="AB80" i="25" s="1"/>
  <c r="AB82" i="25" s="1"/>
  <c r="AB84" i="25" s="1"/>
  <c r="AB122" i="25" s="1"/>
  <c r="H79" i="25"/>
  <c r="U79" i="25" s="1"/>
  <c r="N76" i="25"/>
  <c r="B76" i="25"/>
  <c r="Q75" i="25"/>
  <c r="L75" i="25"/>
  <c r="Q74" i="25"/>
  <c r="L74" i="25"/>
  <c r="Q73" i="25"/>
  <c r="Q76" i="25" s="1"/>
  <c r="L70" i="25"/>
  <c r="E70" i="25"/>
  <c r="G69" i="25"/>
  <c r="S69" i="25" s="1"/>
  <c r="T67" i="25"/>
  <c r="U67" i="25" s="1"/>
  <c r="U66" i="25"/>
  <c r="T66" i="25"/>
  <c r="N65" i="25"/>
  <c r="S65" i="25" s="1"/>
  <c r="F65" i="25"/>
  <c r="F66" i="25" s="1"/>
  <c r="F64" i="25"/>
  <c r="F67" i="25" s="1"/>
  <c r="F63" i="25"/>
  <c r="G62" i="25"/>
  <c r="P61" i="25"/>
  <c r="G61" i="25"/>
  <c r="P60" i="25"/>
  <c r="S60" i="25" s="1"/>
  <c r="G60" i="25"/>
  <c r="O59" i="25"/>
  <c r="P59" i="25" s="1"/>
  <c r="G59" i="25"/>
  <c r="O58" i="25"/>
  <c r="F58" i="25"/>
  <c r="P57" i="25"/>
  <c r="S56" i="25"/>
  <c r="N56" i="25"/>
  <c r="T55" i="25"/>
  <c r="U55" i="25" s="1"/>
  <c r="N55" i="25"/>
  <c r="G55" i="25"/>
  <c r="S53" i="25"/>
  <c r="N53" i="25"/>
  <c r="P53" i="25" s="1"/>
  <c r="N50" i="25"/>
  <c r="P50" i="25" s="1"/>
  <c r="S50" i="25" s="1"/>
  <c r="F50" i="25"/>
  <c r="F51" i="25" s="1"/>
  <c r="N51" i="25" s="1"/>
  <c r="P51" i="25" s="1"/>
  <c r="S51" i="25" s="1"/>
  <c r="U49" i="25"/>
  <c r="X49" i="25" s="1"/>
  <c r="T49" i="25"/>
  <c r="N49" i="25"/>
  <c r="U48" i="25"/>
  <c r="X48" i="25" s="1"/>
  <c r="T48" i="25"/>
  <c r="F48" i="25"/>
  <c r="U47" i="25"/>
  <c r="X47" i="25" s="1"/>
  <c r="T47" i="25"/>
  <c r="F47" i="25"/>
  <c r="G46" i="25"/>
  <c r="G45" i="25"/>
  <c r="N43" i="25"/>
  <c r="N42" i="25"/>
  <c r="F42" i="25"/>
  <c r="G42" i="25" s="1"/>
  <c r="G43" i="25" s="1"/>
  <c r="U41" i="25"/>
  <c r="X41" i="25" s="1"/>
  <c r="T41" i="25"/>
  <c r="N41" i="25"/>
  <c r="U40" i="25"/>
  <c r="X40" i="25" s="1"/>
  <c r="T40" i="25"/>
  <c r="F40" i="25"/>
  <c r="U39" i="25"/>
  <c r="X39" i="25" s="1"/>
  <c r="T39" i="25"/>
  <c r="F39" i="25"/>
  <c r="G38" i="25"/>
  <c r="N36" i="25"/>
  <c r="N34" i="25"/>
  <c r="P34" i="25" s="1"/>
  <c r="F34" i="25"/>
  <c r="F37" i="25" s="1"/>
  <c r="X33" i="25"/>
  <c r="T33" i="25"/>
  <c r="N33" i="25"/>
  <c r="X32" i="25"/>
  <c r="T32" i="25"/>
  <c r="F32" i="25"/>
  <c r="X31" i="25"/>
  <c r="T31" i="25"/>
  <c r="F31" i="25"/>
  <c r="G30" i="25"/>
  <c r="G33" i="25" s="1"/>
  <c r="X29" i="25"/>
  <c r="T29" i="25"/>
  <c r="N29" i="25"/>
  <c r="X28" i="25"/>
  <c r="T28" i="25"/>
  <c r="F28" i="25"/>
  <c r="X27" i="25"/>
  <c r="T27" i="25"/>
  <c r="F27" i="25"/>
  <c r="T26" i="25"/>
  <c r="U26" i="25" s="1"/>
  <c r="G26" i="25"/>
  <c r="Q25" i="25"/>
  <c r="X24" i="25"/>
  <c r="T24" i="25"/>
  <c r="N24" i="25"/>
  <c r="X23" i="25"/>
  <c r="T23" i="25"/>
  <c r="F23" i="25"/>
  <c r="E23" i="25"/>
  <c r="D23" i="25"/>
  <c r="X22" i="25"/>
  <c r="T22" i="25"/>
  <c r="F22" i="25"/>
  <c r="D21" i="25"/>
  <c r="Q20" i="25"/>
  <c r="S15" i="25"/>
  <c r="T15" i="25" s="1"/>
  <c r="U14" i="25"/>
  <c r="I14" i="25"/>
  <c r="M14" i="25" s="1"/>
  <c r="H12" i="25"/>
  <c r="I6" i="25"/>
  <c r="S59" i="25" l="1"/>
  <c r="S61" i="25"/>
  <c r="F45" i="25"/>
  <c r="O55" i="25"/>
  <c r="P55" i="25" s="1"/>
  <c r="F44" i="25"/>
  <c r="Z116" i="25"/>
  <c r="U114" i="25"/>
  <c r="Q116" i="25"/>
  <c r="Y116" i="25"/>
  <c r="S43" i="25"/>
  <c r="T43" i="25" s="1"/>
  <c r="U43" i="25" s="1"/>
  <c r="X43" i="25" s="1"/>
  <c r="W114" i="25"/>
  <c r="Q101" i="25"/>
  <c r="U101" i="25"/>
  <c r="U82" i="25"/>
  <c r="Q84" i="25" s="1"/>
  <c r="T60" i="25"/>
  <c r="U60" i="25" s="1"/>
  <c r="X60" i="25" s="1"/>
  <c r="T61" i="25"/>
  <c r="U61" i="25" s="1"/>
  <c r="X61" i="25" s="1"/>
  <c r="S42" i="25"/>
  <c r="T50" i="25"/>
  <c r="U50" i="25" s="1"/>
  <c r="X55" i="25"/>
  <c r="T51" i="25"/>
  <c r="U51" i="25" s="1"/>
  <c r="X51" i="25" s="1"/>
  <c r="T59" i="25"/>
  <c r="U59" i="25" s="1"/>
  <c r="X59" i="25" s="1"/>
  <c r="T69" i="25"/>
  <c r="U69" i="25" s="1"/>
  <c r="U68" i="25" s="1"/>
  <c r="S68" i="25"/>
  <c r="X26" i="25"/>
  <c r="F52" i="25"/>
  <c r="P58" i="25"/>
  <c r="T65" i="25"/>
  <c r="U65" i="25" s="1"/>
  <c r="X65" i="25" s="1"/>
  <c r="S57" i="25"/>
  <c r="AC124" i="25"/>
  <c r="T53" i="25"/>
  <c r="U53" i="25" s="1"/>
  <c r="X53" i="25" s="1"/>
  <c r="G34" i="25"/>
  <c r="G35" i="25" s="1"/>
  <c r="F35" i="25"/>
  <c r="Q61" i="25"/>
  <c r="Q70" i="25" s="1"/>
  <c r="T56" i="25"/>
  <c r="U56" i="25" s="1"/>
  <c r="F70" i="24"/>
  <c r="P7" i="24"/>
  <c r="Q7" i="24" s="1"/>
  <c r="N10" i="24"/>
  <c r="N9" i="24"/>
  <c r="I11" i="24"/>
  <c r="W116" i="25" l="1"/>
  <c r="Y117" i="25"/>
  <c r="P9" i="24"/>
  <c r="N11" i="24"/>
  <c r="O11" i="24" s="1"/>
  <c r="U116" i="25"/>
  <c r="S34" i="25"/>
  <c r="T34" i="25" s="1"/>
  <c r="U34" i="25" s="1"/>
  <c r="Q117" i="25"/>
  <c r="F70" i="25"/>
  <c r="X50" i="25"/>
  <c r="X56" i="25"/>
  <c r="X68" i="25"/>
  <c r="T68" i="25"/>
  <c r="Y122" i="25"/>
  <c r="W117" i="25"/>
  <c r="T42" i="25"/>
  <c r="U42" i="25" s="1"/>
  <c r="T58" i="25"/>
  <c r="U58" i="25" s="1"/>
  <c r="X58" i="25" s="1"/>
  <c r="T57" i="25"/>
  <c r="U57" i="25" s="1"/>
  <c r="G36" i="25"/>
  <c r="S36" i="25"/>
  <c r="G70" i="25"/>
  <c r="L17" i="21"/>
  <c r="L18" i="21" s="1"/>
  <c r="D63" i="32" l="1"/>
  <c r="D63" i="20"/>
  <c r="X57" i="25"/>
  <c r="X34" i="25"/>
  <c r="X42" i="25"/>
  <c r="T36" i="25"/>
  <c r="U36" i="25" s="1"/>
  <c r="X36" i="25" s="1"/>
  <c r="G37" i="25"/>
  <c r="P36" i="25"/>
  <c r="S160" i="24"/>
  <c r="W159" i="24" s="1"/>
  <c r="S159" i="24"/>
  <c r="S148" i="24"/>
  <c r="W147" i="24" s="1"/>
  <c r="S147" i="24"/>
  <c r="W146" i="24" s="1"/>
  <c r="S146" i="24"/>
  <c r="W145" i="24" s="1"/>
  <c r="S145" i="24"/>
  <c r="W144" i="24" s="1"/>
  <c r="S144" i="24"/>
  <c r="W143" i="24" s="1"/>
  <c r="S143" i="24"/>
  <c r="W142" i="24" s="1"/>
  <c r="S142" i="24"/>
  <c r="W141" i="24" s="1"/>
  <c r="S141" i="24"/>
  <c r="W140" i="24" s="1"/>
  <c r="S140" i="24"/>
  <c r="W139" i="24" s="1"/>
  <c r="S139" i="24"/>
  <c r="W138" i="24" s="1"/>
  <c r="S137" i="24"/>
  <c r="M123" i="24"/>
  <c r="Q106" i="24"/>
  <c r="N103" i="24"/>
  <c r="O103" i="24" s="1"/>
  <c r="N99" i="24"/>
  <c r="O99" i="24" s="1"/>
  <c r="R92" i="24"/>
  <c r="S92" i="24" s="1"/>
  <c r="R91" i="24"/>
  <c r="Q81" i="24"/>
  <c r="M81" i="24"/>
  <c r="O78" i="24"/>
  <c r="O79" i="24"/>
  <c r="R76" i="24"/>
  <c r="S76" i="24" s="1"/>
  <c r="M68" i="24"/>
  <c r="R65" i="24"/>
  <c r="S65" i="24" s="1"/>
  <c r="M58" i="24"/>
  <c r="Q58" i="24" s="1"/>
  <c r="O56" i="24"/>
  <c r="R40" i="24"/>
  <c r="Q37" i="24"/>
  <c r="Q36" i="24" s="1"/>
  <c r="F24" i="24"/>
  <c r="M24" i="24" s="1"/>
  <c r="E24" i="24"/>
  <c r="D24" i="24"/>
  <c r="D22" i="24"/>
  <c r="Q15" i="24"/>
  <c r="R15" i="24" s="1"/>
  <c r="S14" i="24"/>
  <c r="I14" i="24"/>
  <c r="H12" i="24"/>
  <c r="I6" i="24"/>
  <c r="U107" i="16"/>
  <c r="U98" i="16"/>
  <c r="U113" i="16"/>
  <c r="J10" i="21"/>
  <c r="J7" i="21"/>
  <c r="S40" i="24" l="1"/>
  <c r="V40" i="24" s="1"/>
  <c r="O81" i="24"/>
  <c r="R90" i="24"/>
  <c r="S91" i="24"/>
  <c r="Q24" i="24"/>
  <c r="M27" i="24"/>
  <c r="Q27" i="24" s="1"/>
  <c r="W136" i="24"/>
  <c r="W148" i="24" s="1"/>
  <c r="S149" i="24"/>
  <c r="W158" i="24"/>
  <c r="W160" i="24" s="1"/>
  <c r="S161" i="24"/>
  <c r="S127" i="24"/>
  <c r="D35" i="20" s="1"/>
  <c r="V65" i="24"/>
  <c r="V76" i="24"/>
  <c r="M108" i="24"/>
  <c r="R103" i="24"/>
  <c r="R81" i="24"/>
  <c r="S81" i="24" s="1"/>
  <c r="R53" i="24"/>
  <c r="S53" i="24" s="1"/>
  <c r="R52" i="24"/>
  <c r="S52" i="24" s="1"/>
  <c r="R37" i="24"/>
  <c r="D61" i="32"/>
  <c r="D61" i="20"/>
  <c r="D57" i="20"/>
  <c r="D57" i="32"/>
  <c r="D62" i="32"/>
  <c r="D62" i="20"/>
  <c r="D60" i="32"/>
  <c r="D60" i="20"/>
  <c r="D36" i="32"/>
  <c r="D36" i="20"/>
  <c r="D58" i="32"/>
  <c r="D58" i="20"/>
  <c r="N91" i="24"/>
  <c r="O91" i="24" s="1"/>
  <c r="D37" i="20"/>
  <c r="G37" i="20" s="1"/>
  <c r="D37" i="32"/>
  <c r="D59" i="32"/>
  <c r="D59" i="20"/>
  <c r="G78" i="24"/>
  <c r="G54" i="24"/>
  <c r="V92" i="24"/>
  <c r="R79" i="24"/>
  <c r="R99" i="24"/>
  <c r="T66" i="16"/>
  <c r="U66" i="16" s="1"/>
  <c r="T67" i="16"/>
  <c r="U67" i="16" s="1"/>
  <c r="N65" i="16"/>
  <c r="S65" i="16" s="1"/>
  <c r="F65" i="16"/>
  <c r="S79" i="24" l="1"/>
  <c r="V79" i="24" s="1"/>
  <c r="V81" i="24"/>
  <c r="S103" i="24"/>
  <c r="V103" i="24" s="1"/>
  <c r="R27" i="24"/>
  <c r="S27" i="24" s="1"/>
  <c r="R24" i="24"/>
  <c r="S24" i="24" s="1"/>
  <c r="M21" i="24"/>
  <c r="S90" i="24"/>
  <c r="T90" i="24" s="1"/>
  <c r="V91" i="24"/>
  <c r="V95" i="24" s="1"/>
  <c r="Q21" i="24"/>
  <c r="D35" i="32"/>
  <c r="D34" i="32" s="1"/>
  <c r="S132" i="24"/>
  <c r="S163" i="24" s="1"/>
  <c r="U148" i="24"/>
  <c r="W163" i="24"/>
  <c r="X126" i="24"/>
  <c r="X133" i="24" s="1"/>
  <c r="V53" i="24"/>
  <c r="V52" i="24"/>
  <c r="S99" i="24"/>
  <c r="S37" i="24"/>
  <c r="M110" i="24"/>
  <c r="Q110" i="24" s="1"/>
  <c r="M111" i="24"/>
  <c r="Q111" i="24" s="1"/>
  <c r="Q54" i="24"/>
  <c r="Q78" i="24"/>
  <c r="H37" i="20"/>
  <c r="D23" i="32"/>
  <c r="H23" i="32" s="1"/>
  <c r="H37" i="32"/>
  <c r="G37" i="32"/>
  <c r="H36" i="32"/>
  <c r="G36" i="32"/>
  <c r="D55" i="32"/>
  <c r="D65" i="32" s="1"/>
  <c r="D55" i="20"/>
  <c r="D65" i="20" s="1"/>
  <c r="D22" i="32"/>
  <c r="D18" i="32"/>
  <c r="H36" i="20"/>
  <c r="G36" i="20"/>
  <c r="H35" i="20"/>
  <c r="G35" i="20"/>
  <c r="D23" i="20"/>
  <c r="H23" i="20" s="1"/>
  <c r="D22" i="20"/>
  <c r="H22" i="20" s="1"/>
  <c r="D21" i="20"/>
  <c r="H21" i="20" s="1"/>
  <c r="D18" i="20"/>
  <c r="H18" i="20" s="1"/>
  <c r="R67" i="24"/>
  <c r="S67" i="24" s="1"/>
  <c r="R68" i="24"/>
  <c r="S68" i="24" s="1"/>
  <c r="R89" i="24"/>
  <c r="S53" i="16"/>
  <c r="N50" i="16"/>
  <c r="F42" i="16"/>
  <c r="G42" i="16" s="1"/>
  <c r="G13" i="20"/>
  <c r="T26" i="16"/>
  <c r="F29" i="20"/>
  <c r="F33" i="20" s="1"/>
  <c r="F38" i="20" s="1"/>
  <c r="F66" i="20" s="1"/>
  <c r="F71" i="20" s="1"/>
  <c r="F72" i="20" s="1"/>
  <c r="D21" i="32" l="1"/>
  <c r="X163" i="24"/>
  <c r="U133" i="24"/>
  <c r="R21" i="24"/>
  <c r="V37" i="24"/>
  <c r="V99" i="24"/>
  <c r="S89" i="24"/>
  <c r="V24" i="24"/>
  <c r="H35" i="32"/>
  <c r="G35" i="32"/>
  <c r="V27" i="24"/>
  <c r="X165" i="24"/>
  <c r="X166" i="24" s="1"/>
  <c r="W165" i="24"/>
  <c r="W166" i="24" s="1"/>
  <c r="W168" i="24" s="1"/>
  <c r="D20" i="32"/>
  <c r="H30" i="32" s="1"/>
  <c r="D20" i="20"/>
  <c r="H20" i="20" s="1"/>
  <c r="D11" i="32"/>
  <c r="H11" i="32" s="1"/>
  <c r="V67" i="24"/>
  <c r="V68" i="24"/>
  <c r="D11" i="20"/>
  <c r="D10" i="20" s="1"/>
  <c r="R111" i="24"/>
  <c r="S111" i="24" s="1"/>
  <c r="R110" i="24"/>
  <c r="R54" i="24"/>
  <c r="S54" i="24" s="1"/>
  <c r="R78" i="24"/>
  <c r="G31" i="32"/>
  <c r="H31" i="32"/>
  <c r="H21" i="32"/>
  <c r="H32" i="32"/>
  <c r="H22" i="32"/>
  <c r="G32" i="32"/>
  <c r="H18" i="32"/>
  <c r="F73" i="20"/>
  <c r="F74" i="20" s="1"/>
  <c r="R58" i="24"/>
  <c r="S58" i="24" s="1"/>
  <c r="O58" i="24"/>
  <c r="U105" i="16"/>
  <c r="U106" i="16"/>
  <c r="U104" i="16"/>
  <c r="F45" i="16"/>
  <c r="N42" i="16"/>
  <c r="F34" i="16"/>
  <c r="N41" i="16"/>
  <c r="N36" i="16"/>
  <c r="N34" i="16"/>
  <c r="N33" i="16"/>
  <c r="I14" i="16"/>
  <c r="M14" i="16" s="1"/>
  <c r="S15" i="16"/>
  <c r="T15" i="16" s="1"/>
  <c r="E9" i="19"/>
  <c r="H40" i="16" s="1"/>
  <c r="C4" i="19"/>
  <c r="C7" i="19"/>
  <c r="D7" i="19" s="1"/>
  <c r="C8" i="19"/>
  <c r="D8" i="19" s="1"/>
  <c r="C9" i="19"/>
  <c r="D9" i="19" s="1"/>
  <c r="C10" i="19"/>
  <c r="D10" i="19" s="1"/>
  <c r="C11" i="19"/>
  <c r="D11" i="19" s="1"/>
  <c r="C12" i="19"/>
  <c r="E12" i="19" s="1"/>
  <c r="G68" i="18" s="1"/>
  <c r="C13" i="19"/>
  <c r="D13" i="19" s="1"/>
  <c r="C16" i="19"/>
  <c r="C17" i="19"/>
  <c r="C20" i="19"/>
  <c r="C21" i="19"/>
  <c r="C22" i="19"/>
  <c r="C23" i="19"/>
  <c r="C24" i="19"/>
  <c r="C26" i="19"/>
  <c r="C27" i="19"/>
  <c r="C28" i="19"/>
  <c r="C29" i="19"/>
  <c r="C30" i="19"/>
  <c r="E10" i="19" l="1"/>
  <c r="D12" i="19"/>
  <c r="H63" i="25" s="1"/>
  <c r="V111" i="24"/>
  <c r="S78" i="24"/>
  <c r="V78" i="24" s="1"/>
  <c r="S110" i="24"/>
  <c r="V110" i="24" s="1"/>
  <c r="V28" i="24"/>
  <c r="S21" i="24"/>
  <c r="T21" i="24" s="1"/>
  <c r="G30" i="32"/>
  <c r="G29" i="32" s="1"/>
  <c r="H20" i="32"/>
  <c r="X168" i="24"/>
  <c r="D10" i="32"/>
  <c r="G11" i="32"/>
  <c r="G10" i="32" s="1"/>
  <c r="V58" i="24"/>
  <c r="V54" i="24"/>
  <c r="H39" i="25"/>
  <c r="N39" i="25" s="1"/>
  <c r="H31" i="25"/>
  <c r="H47" i="25"/>
  <c r="N47" i="25" s="1"/>
  <c r="H44" i="25"/>
  <c r="N44" i="25" s="1"/>
  <c r="S44" i="25" s="1"/>
  <c r="T44" i="25" s="1"/>
  <c r="U44" i="25" s="1"/>
  <c r="Q74" i="24"/>
  <c r="H31" i="16"/>
  <c r="H47" i="16"/>
  <c r="H44" i="16"/>
  <c r="H39" i="16"/>
  <c r="H27" i="25"/>
  <c r="N27" i="25" s="1"/>
  <c r="H27" i="16"/>
  <c r="E8" i="19"/>
  <c r="H32" i="16"/>
  <c r="H22" i="25"/>
  <c r="N22" i="25" s="1"/>
  <c r="H22" i="16"/>
  <c r="H52" i="16"/>
  <c r="E7" i="19"/>
  <c r="H35" i="16"/>
  <c r="E13" i="19"/>
  <c r="H52" i="25"/>
  <c r="N52" i="25" s="1"/>
  <c r="P52" i="25" s="1"/>
  <c r="S52" i="25" s="1"/>
  <c r="T52" i="25" s="1"/>
  <c r="U52" i="25" s="1"/>
  <c r="H48" i="25"/>
  <c r="N48" i="25" s="1"/>
  <c r="H40" i="25"/>
  <c r="H32" i="25"/>
  <c r="N32" i="25" s="1"/>
  <c r="H35" i="25"/>
  <c r="Q75" i="24"/>
  <c r="H80" i="24"/>
  <c r="H63" i="16"/>
  <c r="H66" i="16" s="1"/>
  <c r="E11" i="19"/>
  <c r="H48" i="16"/>
  <c r="G34" i="16"/>
  <c r="G35" i="16" s="1"/>
  <c r="F37" i="16"/>
  <c r="G25" i="18"/>
  <c r="G21" i="18"/>
  <c r="I13" i="18"/>
  <c r="I14" i="18" s="1"/>
  <c r="W169" i="24" l="1"/>
  <c r="X169" i="24"/>
  <c r="R74" i="24"/>
  <c r="S74" i="24" s="1"/>
  <c r="R63" i="24"/>
  <c r="S63" i="24" s="1"/>
  <c r="M80" i="24"/>
  <c r="R64" i="24"/>
  <c r="S64" i="24" s="1"/>
  <c r="R75" i="24"/>
  <c r="S75" i="24" s="1"/>
  <c r="R38" i="24"/>
  <c r="N73" i="24"/>
  <c r="O73" i="24" s="1"/>
  <c r="H23" i="25"/>
  <c r="N23" i="25" s="1"/>
  <c r="O21" i="25" s="1"/>
  <c r="P21" i="25" s="1"/>
  <c r="N22" i="24"/>
  <c r="O22" i="24" s="1"/>
  <c r="H23" i="16"/>
  <c r="X52" i="25"/>
  <c r="W50" i="25"/>
  <c r="H59" i="24"/>
  <c r="N51" i="24"/>
  <c r="O51" i="24" s="1"/>
  <c r="O57" i="24"/>
  <c r="H70" i="24"/>
  <c r="N62" i="24"/>
  <c r="O62" i="24" s="1"/>
  <c r="H64" i="25"/>
  <c r="H64" i="16"/>
  <c r="H67" i="16" s="1"/>
  <c r="Q107" i="24"/>
  <c r="X44" i="25"/>
  <c r="H28" i="25"/>
  <c r="N28" i="25" s="1"/>
  <c r="O26" i="25" s="1"/>
  <c r="H28" i="16"/>
  <c r="N35" i="25"/>
  <c r="S35" i="25" s="1"/>
  <c r="P35" i="25"/>
  <c r="H66" i="25"/>
  <c r="N66" i="25" s="1"/>
  <c r="N63" i="25"/>
  <c r="S63" i="25" s="1"/>
  <c r="T63" i="25" s="1"/>
  <c r="U63" i="25" s="1"/>
  <c r="X63" i="25" s="1"/>
  <c r="O46" i="25"/>
  <c r="P46" i="25" s="1"/>
  <c r="S46" i="25" s="1"/>
  <c r="T46" i="25" s="1"/>
  <c r="U46" i="25" s="1"/>
  <c r="X46" i="25" s="1"/>
  <c r="H45" i="25"/>
  <c r="N45" i="25" s="1"/>
  <c r="S45" i="25" s="1"/>
  <c r="T45" i="25" s="1"/>
  <c r="U45" i="25" s="1"/>
  <c r="X45" i="25" s="1"/>
  <c r="N40" i="25"/>
  <c r="O38" i="25" s="1"/>
  <c r="P38" i="25" s="1"/>
  <c r="H37" i="25"/>
  <c r="N37" i="25" s="1"/>
  <c r="N31" i="25"/>
  <c r="O30" i="25" s="1"/>
  <c r="P30" i="25" s="1"/>
  <c r="S30" i="25" s="1"/>
  <c r="S36" i="16"/>
  <c r="G36" i="16"/>
  <c r="F32" i="16"/>
  <c r="N32" i="16" s="1"/>
  <c r="F27" i="16"/>
  <c r="N27" i="16" s="1"/>
  <c r="F58" i="16"/>
  <c r="O80" i="24" l="1"/>
  <c r="Q80" i="24" s="1"/>
  <c r="M72" i="24"/>
  <c r="S38" i="24"/>
  <c r="V75" i="24"/>
  <c r="V64" i="24"/>
  <c r="V63" i="24"/>
  <c r="V74" i="24"/>
  <c r="H69" i="24"/>
  <c r="M69" i="24" s="1"/>
  <c r="Q69" i="24" s="1"/>
  <c r="M59" i="24"/>
  <c r="M50" i="24" s="1"/>
  <c r="R73" i="24"/>
  <c r="Q72" i="24"/>
  <c r="R80" i="24"/>
  <c r="M70" i="24"/>
  <c r="Q70" i="24" s="1"/>
  <c r="R57" i="24"/>
  <c r="N37" i="24"/>
  <c r="N36" i="24" s="1"/>
  <c r="Q20" i="24"/>
  <c r="R51" i="24"/>
  <c r="R38" i="25"/>
  <c r="S38" i="25"/>
  <c r="T38" i="25" s="1"/>
  <c r="U38" i="25" s="1"/>
  <c r="X38" i="25" s="1"/>
  <c r="S14" i="25"/>
  <c r="S16" i="25" s="1"/>
  <c r="P26" i="25"/>
  <c r="O54" i="25"/>
  <c r="R62" i="24"/>
  <c r="P62" i="24"/>
  <c r="V42" i="25"/>
  <c r="R107" i="24"/>
  <c r="S107" i="24" s="1"/>
  <c r="H67" i="25"/>
  <c r="N67" i="25" s="1"/>
  <c r="N64" i="25"/>
  <c r="T35" i="25"/>
  <c r="U35" i="25"/>
  <c r="N70" i="25"/>
  <c r="P37" i="25"/>
  <c r="S37" i="25"/>
  <c r="T30" i="25"/>
  <c r="U30" i="25" s="1"/>
  <c r="Q108" i="24"/>
  <c r="R21" i="25"/>
  <c r="S21" i="25"/>
  <c r="Z132" i="18"/>
  <c r="Z131" i="18"/>
  <c r="Z130" i="18"/>
  <c r="AC124" i="18"/>
  <c r="AC125" i="18" s="1"/>
  <c r="Z116" i="18"/>
  <c r="Z119" i="18" s="1"/>
  <c r="U114" i="18"/>
  <c r="U113" i="18"/>
  <c r="Q113" i="18"/>
  <c r="U112" i="18"/>
  <c r="U111" i="18"/>
  <c r="U110" i="18"/>
  <c r="Q110" i="18"/>
  <c r="U109" i="18"/>
  <c r="Q109" i="18"/>
  <c r="U108" i="18"/>
  <c r="Q108" i="18"/>
  <c r="U107" i="18"/>
  <c r="Q107" i="18"/>
  <c r="U106" i="18"/>
  <c r="Q106" i="18"/>
  <c r="Y103" i="18"/>
  <c r="Y118" i="18" s="1"/>
  <c r="U102" i="18"/>
  <c r="Q102" i="18"/>
  <c r="U101" i="18"/>
  <c r="Q101" i="18"/>
  <c r="U100" i="18"/>
  <c r="Q100" i="18"/>
  <c r="U99" i="18"/>
  <c r="U98" i="18"/>
  <c r="U97" i="18"/>
  <c r="U96" i="18"/>
  <c r="U95" i="18"/>
  <c r="U94" i="18"/>
  <c r="U93" i="18"/>
  <c r="U92" i="18"/>
  <c r="Q92" i="18"/>
  <c r="U91" i="18"/>
  <c r="U90" i="18"/>
  <c r="U89" i="18"/>
  <c r="H83" i="18"/>
  <c r="U83" i="18" s="1"/>
  <c r="AB83" i="18" s="1"/>
  <c r="Q82" i="18"/>
  <c r="Q84" i="18" s="1"/>
  <c r="H82" i="18"/>
  <c r="U82" i="18" s="1"/>
  <c r="AB82" i="18" s="1"/>
  <c r="H81" i="18"/>
  <c r="U81" i="18" s="1"/>
  <c r="B78" i="18"/>
  <c r="N77" i="18"/>
  <c r="Q77" i="18" s="1"/>
  <c r="L77" i="18"/>
  <c r="N76" i="18"/>
  <c r="Q76" i="18" s="1"/>
  <c r="L76" i="18"/>
  <c r="Q75" i="18"/>
  <c r="Q78" i="18" s="1"/>
  <c r="N75" i="18"/>
  <c r="N78" i="18" s="1"/>
  <c r="L72" i="18"/>
  <c r="E72" i="18"/>
  <c r="G71" i="18"/>
  <c r="S71" i="18" s="1"/>
  <c r="T69" i="18"/>
  <c r="U69" i="18" s="1"/>
  <c r="X69" i="18" s="1"/>
  <c r="G69" i="18"/>
  <c r="T68" i="18"/>
  <c r="U68" i="18" s="1"/>
  <c r="X68" i="18" s="1"/>
  <c r="F68" i="18"/>
  <c r="N68" i="18" s="1"/>
  <c r="T67" i="18"/>
  <c r="U67" i="18" s="1"/>
  <c r="X67" i="18" s="1"/>
  <c r="G67" i="18"/>
  <c r="F67" i="18"/>
  <c r="G66" i="18"/>
  <c r="P65" i="18"/>
  <c r="G65" i="18"/>
  <c r="P64" i="18"/>
  <c r="G64" i="18"/>
  <c r="O63" i="18"/>
  <c r="P63" i="18" s="1"/>
  <c r="S63" i="18" s="1"/>
  <c r="G63" i="18"/>
  <c r="O62" i="18"/>
  <c r="G62" i="18"/>
  <c r="S60" i="18"/>
  <c r="N60" i="18"/>
  <c r="T59" i="18"/>
  <c r="U59" i="18" s="1"/>
  <c r="N59" i="18"/>
  <c r="G59" i="18"/>
  <c r="T57" i="18"/>
  <c r="N57" i="18"/>
  <c r="P57" i="18" s="1"/>
  <c r="U57" i="18" s="1"/>
  <c r="X57" i="18" s="1"/>
  <c r="T56" i="18"/>
  <c r="F56" i="18"/>
  <c r="N56" i="18" s="1"/>
  <c r="P56" i="18" s="1"/>
  <c r="U56" i="18" s="1"/>
  <c r="X56" i="18" s="1"/>
  <c r="T55" i="18"/>
  <c r="F55" i="18"/>
  <c r="N55" i="18" s="1"/>
  <c r="P55" i="18" s="1"/>
  <c r="U55" i="18" s="1"/>
  <c r="X55" i="18" s="1"/>
  <c r="T54" i="18"/>
  <c r="N54" i="18"/>
  <c r="P54" i="18" s="1"/>
  <c r="U54" i="18" s="1"/>
  <c r="X54" i="18" s="1"/>
  <c r="F54" i="18"/>
  <c r="U53" i="18"/>
  <c r="X53" i="18" s="1"/>
  <c r="T53" i="18"/>
  <c r="N53" i="18"/>
  <c r="U52" i="18"/>
  <c r="X52" i="18" s="1"/>
  <c r="T52" i="18"/>
  <c r="H52" i="18"/>
  <c r="F52" i="18"/>
  <c r="U51" i="18"/>
  <c r="X51" i="18" s="1"/>
  <c r="T51" i="18"/>
  <c r="H51" i="18"/>
  <c r="F51" i="18"/>
  <c r="G50" i="18"/>
  <c r="G54" i="18" s="1"/>
  <c r="U49" i="18"/>
  <c r="X49" i="18" s="1"/>
  <c r="T49" i="18"/>
  <c r="G49" i="18"/>
  <c r="F49" i="18"/>
  <c r="U48" i="18"/>
  <c r="X48" i="18" s="1"/>
  <c r="T48" i="18"/>
  <c r="F48" i="18"/>
  <c r="N48" i="18" s="1"/>
  <c r="U47" i="18"/>
  <c r="X47" i="18" s="1"/>
  <c r="T47" i="18"/>
  <c r="N47" i="18"/>
  <c r="G47" i="18"/>
  <c r="U46" i="18"/>
  <c r="X46" i="18" s="1"/>
  <c r="T46" i="18"/>
  <c r="N46" i="18"/>
  <c r="U45" i="18"/>
  <c r="X45" i="18" s="1"/>
  <c r="T45" i="18"/>
  <c r="N45" i="18"/>
  <c r="U44" i="18"/>
  <c r="X44" i="18" s="1"/>
  <c r="T44" i="18"/>
  <c r="H44" i="18"/>
  <c r="H49" i="18" s="1"/>
  <c r="F44" i="18"/>
  <c r="U43" i="18"/>
  <c r="X43" i="18" s="1"/>
  <c r="T43" i="18"/>
  <c r="H43" i="18"/>
  <c r="F43" i="18"/>
  <c r="G42" i="18"/>
  <c r="T41" i="18"/>
  <c r="T40" i="18"/>
  <c r="H40" i="18"/>
  <c r="T39" i="18"/>
  <c r="T38" i="18"/>
  <c r="N38" i="18"/>
  <c r="P38" i="18" s="1"/>
  <c r="U38" i="18" s="1"/>
  <c r="X38" i="18" s="1"/>
  <c r="F38" i="18"/>
  <c r="F39" i="18" s="1"/>
  <c r="X37" i="18"/>
  <c r="T37" i="18"/>
  <c r="N37" i="18"/>
  <c r="X36" i="18"/>
  <c r="T36" i="18"/>
  <c r="H36" i="18"/>
  <c r="F36" i="18"/>
  <c r="G36" i="18" s="1"/>
  <c r="X35" i="18"/>
  <c r="T35" i="18"/>
  <c r="H35" i="18"/>
  <c r="H41" i="18" s="1"/>
  <c r="F35" i="18"/>
  <c r="G35" i="18" s="1"/>
  <c r="G34" i="18"/>
  <c r="G37" i="18" s="1"/>
  <c r="X33" i="18"/>
  <c r="T33" i="18"/>
  <c r="N33" i="18"/>
  <c r="X32" i="18"/>
  <c r="T32" i="18"/>
  <c r="H32" i="18"/>
  <c r="F32" i="18"/>
  <c r="X31" i="18"/>
  <c r="T31" i="18"/>
  <c r="H31" i="18"/>
  <c r="F31" i="18"/>
  <c r="S30" i="18"/>
  <c r="T30" i="18" s="1"/>
  <c r="U30" i="18" s="1"/>
  <c r="G30" i="18"/>
  <c r="Q29" i="18"/>
  <c r="X28" i="18"/>
  <c r="T28" i="18"/>
  <c r="N28" i="18"/>
  <c r="X27" i="18"/>
  <c r="T27" i="18"/>
  <c r="F27" i="18"/>
  <c r="N26" i="18" s="1"/>
  <c r="X26" i="18"/>
  <c r="T26" i="18"/>
  <c r="H26" i="18"/>
  <c r="F26" i="18"/>
  <c r="S25" i="18"/>
  <c r="T25" i="18" s="1"/>
  <c r="U25" i="18" s="1"/>
  <c r="X25" i="18" s="1"/>
  <c r="Q25" i="18"/>
  <c r="X24" i="18"/>
  <c r="T24" i="18"/>
  <c r="N24" i="18"/>
  <c r="X23" i="18"/>
  <c r="T23" i="18"/>
  <c r="H23" i="18"/>
  <c r="F23" i="18"/>
  <c r="E23" i="18"/>
  <c r="E27" i="18" s="1"/>
  <c r="D23" i="18"/>
  <c r="X22" i="18"/>
  <c r="T22" i="18"/>
  <c r="H22" i="18"/>
  <c r="F22" i="18"/>
  <c r="D21" i="18"/>
  <c r="Q20" i="18"/>
  <c r="P15" i="18"/>
  <c r="U14" i="18"/>
  <c r="H12" i="18"/>
  <c r="I12" i="18" s="1"/>
  <c r="P8" i="18"/>
  <c r="P10" i="18" s="1"/>
  <c r="I6" i="18"/>
  <c r="N36" i="18" l="1"/>
  <c r="G72" i="18"/>
  <c r="Z118" i="18"/>
  <c r="N31" i="18"/>
  <c r="S65" i="18"/>
  <c r="S57" i="24"/>
  <c r="V57" i="24" s="1"/>
  <c r="N23" i="18"/>
  <c r="N43" i="18"/>
  <c r="N52" i="18"/>
  <c r="Q98" i="24"/>
  <c r="Q97" i="24" s="1"/>
  <c r="N22" i="18"/>
  <c r="S73" i="24"/>
  <c r="V73" i="24" s="1"/>
  <c r="R72" i="24"/>
  <c r="P9" i="18"/>
  <c r="P11" i="18" s="1"/>
  <c r="P13" i="18" s="1"/>
  <c r="S51" i="24"/>
  <c r="S80" i="24"/>
  <c r="V38" i="24"/>
  <c r="Q59" i="24"/>
  <c r="Q50" i="24" s="1"/>
  <c r="V107" i="24"/>
  <c r="Q61" i="24"/>
  <c r="R70" i="24"/>
  <c r="S70" i="24" s="1"/>
  <c r="O59" i="24"/>
  <c r="R69" i="24"/>
  <c r="S69" i="24" s="1"/>
  <c r="S62" i="24"/>
  <c r="O37" i="24"/>
  <c r="O36" i="24" s="1"/>
  <c r="O90" i="24" s="1"/>
  <c r="Q14" i="24"/>
  <c r="Q16" i="24" s="1"/>
  <c r="N90" i="24"/>
  <c r="R39" i="24"/>
  <c r="U103" i="18"/>
  <c r="T37" i="25"/>
  <c r="U37" i="25" s="1"/>
  <c r="P54" i="25"/>
  <c r="R26" i="25"/>
  <c r="R69" i="25" s="1"/>
  <c r="N49" i="18"/>
  <c r="N51" i="18"/>
  <c r="O50" i="18" s="1"/>
  <c r="P50" i="18" s="1"/>
  <c r="S50" i="18" s="1"/>
  <c r="S64" i="18"/>
  <c r="T64" i="18" s="1"/>
  <c r="U64" i="18" s="1"/>
  <c r="X64" i="18" s="1"/>
  <c r="U84" i="18"/>
  <c r="X30" i="25"/>
  <c r="W103" i="18"/>
  <c r="N106" i="24"/>
  <c r="Q103" i="18"/>
  <c r="X35" i="25"/>
  <c r="Q65" i="18"/>
  <c r="Q72" i="18" s="1"/>
  <c r="AB84" i="18"/>
  <c r="AB86" i="18" s="1"/>
  <c r="AB124" i="18" s="1"/>
  <c r="U116" i="18"/>
  <c r="O62" i="25"/>
  <c r="S64" i="25"/>
  <c r="T64" i="25" s="1"/>
  <c r="U64" i="25" s="1"/>
  <c r="X64" i="25" s="1"/>
  <c r="O59" i="18"/>
  <c r="P59" i="18" s="1"/>
  <c r="P61" i="18"/>
  <c r="S20" i="25"/>
  <c r="T21" i="25"/>
  <c r="U21" i="25" s="1"/>
  <c r="N32" i="18"/>
  <c r="H67" i="18"/>
  <c r="N67" i="18" s="1"/>
  <c r="O66" i="18" s="1"/>
  <c r="Q118" i="18"/>
  <c r="S25" i="25"/>
  <c r="Q86" i="18"/>
  <c r="T65" i="18"/>
  <c r="U65" i="18" s="1"/>
  <c r="X65" i="18" s="1"/>
  <c r="W118" i="18"/>
  <c r="Y119" i="18"/>
  <c r="X30" i="18"/>
  <c r="X59" i="18"/>
  <c r="T71" i="18"/>
  <c r="U71" i="18" s="1"/>
  <c r="U70" i="18" s="1"/>
  <c r="S70" i="18"/>
  <c r="N35" i="18"/>
  <c r="O34" i="18" s="1"/>
  <c r="P34" i="18" s="1"/>
  <c r="S34" i="18" s="1"/>
  <c r="P39" i="18"/>
  <c r="U39" i="18" s="1"/>
  <c r="X39" i="18" s="1"/>
  <c r="N39" i="18"/>
  <c r="T63" i="18"/>
  <c r="U63" i="18" s="1"/>
  <c r="X63" i="18" s="1"/>
  <c r="N27" i="18"/>
  <c r="G32" i="18"/>
  <c r="G38" i="18"/>
  <c r="G40" i="18" s="1"/>
  <c r="P62" i="18"/>
  <c r="S62" i="18" s="1"/>
  <c r="AC126" i="18"/>
  <c r="F41" i="18"/>
  <c r="N41" i="18" s="1"/>
  <c r="P41" i="18" s="1"/>
  <c r="U41" i="18" s="1"/>
  <c r="X41" i="18" s="1"/>
  <c r="N44" i="18"/>
  <c r="S61" i="18"/>
  <c r="W116" i="18"/>
  <c r="T60" i="18"/>
  <c r="U60" i="18" s="1"/>
  <c r="F25" i="17"/>
  <c r="O21" i="18" l="1"/>
  <c r="P21" i="18" s="1"/>
  <c r="O42" i="18"/>
  <c r="O58" i="18" s="1"/>
  <c r="O30" i="18"/>
  <c r="P30" i="18" s="1"/>
  <c r="S72" i="24"/>
  <c r="T72" i="24" s="1"/>
  <c r="U118" i="18"/>
  <c r="V80" i="24"/>
  <c r="V82" i="24" s="1"/>
  <c r="Q119" i="18"/>
  <c r="N72" i="18"/>
  <c r="F72" i="18"/>
  <c r="V69" i="24"/>
  <c r="R59" i="24"/>
  <c r="S39" i="24"/>
  <c r="R36" i="24"/>
  <c r="R20" i="24" s="1"/>
  <c r="V70" i="24"/>
  <c r="R61" i="24"/>
  <c r="V51" i="24"/>
  <c r="V62" i="24"/>
  <c r="S61" i="24"/>
  <c r="T61" i="24" s="1"/>
  <c r="Q49" i="24"/>
  <c r="P37" i="24"/>
  <c r="X21" i="25"/>
  <c r="U20" i="25"/>
  <c r="N69" i="18"/>
  <c r="P66" i="18"/>
  <c r="S66" i="18" s="1"/>
  <c r="S58" i="18" s="1"/>
  <c r="O70" i="18"/>
  <c r="X37" i="25"/>
  <c r="U25" i="25"/>
  <c r="V34" i="25"/>
  <c r="O68" i="25"/>
  <c r="P62" i="25"/>
  <c r="D8" i="20"/>
  <c r="D8" i="32"/>
  <c r="O25" i="18"/>
  <c r="O106" i="24"/>
  <c r="R108" i="24"/>
  <c r="S108" i="24" s="1"/>
  <c r="P42" i="18"/>
  <c r="X60" i="18"/>
  <c r="Y124" i="18"/>
  <c r="W119" i="18"/>
  <c r="P40" i="18"/>
  <c r="U40" i="18" s="1"/>
  <c r="X40" i="18" s="1"/>
  <c r="G41" i="18"/>
  <c r="T62" i="18"/>
  <c r="U62" i="18" s="1"/>
  <c r="X62" i="18" s="1"/>
  <c r="T50" i="18"/>
  <c r="U50" i="18" s="1"/>
  <c r="X50" i="18" s="1"/>
  <c r="X70" i="18"/>
  <c r="T61" i="18"/>
  <c r="U61" i="18" s="1"/>
  <c r="T70" i="18"/>
  <c r="T34" i="18"/>
  <c r="U34" i="18" s="1"/>
  <c r="R30" i="18"/>
  <c r="P58" i="18"/>
  <c r="S21" i="18"/>
  <c r="R21" i="18"/>
  <c r="X30" i="8"/>
  <c r="T66" i="18" l="1"/>
  <c r="U66" i="18" s="1"/>
  <c r="X66" i="18" s="1"/>
  <c r="P70" i="18"/>
  <c r="V72" i="24"/>
  <c r="P72" i="18"/>
  <c r="L75" i="18" s="1"/>
  <c r="L78" i="18" s="1"/>
  <c r="S59" i="24"/>
  <c r="V59" i="24" s="1"/>
  <c r="V39" i="24"/>
  <c r="V43" i="24" s="1"/>
  <c r="S36" i="24"/>
  <c r="Q116" i="24"/>
  <c r="V108" i="24"/>
  <c r="P36" i="24"/>
  <c r="D9" i="20"/>
  <c r="H9" i="20" s="1"/>
  <c r="H8" i="20" s="1"/>
  <c r="D9" i="32"/>
  <c r="H9" i="32" s="1"/>
  <c r="H8" i="32" s="1"/>
  <c r="O116" i="24"/>
  <c r="S62" i="25"/>
  <c r="P68" i="25"/>
  <c r="P70" i="25" s="1"/>
  <c r="L73" i="25" s="1"/>
  <c r="L76" i="25" s="1"/>
  <c r="X61" i="18"/>
  <c r="U58" i="18"/>
  <c r="X34" i="18"/>
  <c r="S20" i="18"/>
  <c r="T21" i="18"/>
  <c r="U21" i="18" s="1"/>
  <c r="S42" i="18"/>
  <c r="R42" i="18"/>
  <c r="R71" i="18" s="1"/>
  <c r="F28" i="17"/>
  <c r="F11" i="17"/>
  <c r="D63" i="17"/>
  <c r="T36" i="24" l="1"/>
  <c r="S20" i="24"/>
  <c r="O121" i="24"/>
  <c r="O120" i="24"/>
  <c r="R106" i="24"/>
  <c r="T62" i="25"/>
  <c r="S54" i="25"/>
  <c r="S70" i="25" s="1"/>
  <c r="X21" i="18"/>
  <c r="U20" i="18"/>
  <c r="T42" i="18"/>
  <c r="T72" i="18" s="1"/>
  <c r="S29" i="18"/>
  <c r="S72" i="18" s="1"/>
  <c r="X58" i="18"/>
  <c r="D10" i="17"/>
  <c r="G10" i="17" s="1"/>
  <c r="S56" i="16"/>
  <c r="T56" i="16" s="1"/>
  <c r="T55" i="16"/>
  <c r="U55" i="16" s="1"/>
  <c r="T22" i="16"/>
  <c r="T23" i="16"/>
  <c r="T24" i="16"/>
  <c r="T27" i="16"/>
  <c r="T28" i="16"/>
  <c r="T29" i="16"/>
  <c r="T31" i="16"/>
  <c r="T32" i="16"/>
  <c r="T33" i="16"/>
  <c r="T36" i="16"/>
  <c r="U36" i="16" s="1"/>
  <c r="T39" i="16"/>
  <c r="T40" i="16"/>
  <c r="T41" i="16"/>
  <c r="T47" i="16"/>
  <c r="T48" i="16"/>
  <c r="T49" i="16"/>
  <c r="T53" i="16"/>
  <c r="U53" i="16" s="1"/>
  <c r="T65" i="16"/>
  <c r="U65" i="16" s="1"/>
  <c r="U39" i="16"/>
  <c r="U40" i="16"/>
  <c r="U41" i="16"/>
  <c r="U47" i="16"/>
  <c r="U48" i="16"/>
  <c r="U49" i="16"/>
  <c r="U87" i="16"/>
  <c r="U88" i="16"/>
  <c r="U89" i="16"/>
  <c r="U90" i="16"/>
  <c r="U91" i="16"/>
  <c r="U92" i="16"/>
  <c r="U93" i="16"/>
  <c r="U94" i="16"/>
  <c r="U95" i="16"/>
  <c r="U96" i="16"/>
  <c r="U97" i="16"/>
  <c r="U99" i="16"/>
  <c r="U100" i="16"/>
  <c r="D54" i="17"/>
  <c r="D55" i="17"/>
  <c r="U108" i="16"/>
  <c r="U109" i="16"/>
  <c r="U110" i="16"/>
  <c r="U111" i="16"/>
  <c r="S106" i="24" l="1"/>
  <c r="R98" i="24"/>
  <c r="R97" i="24" s="1"/>
  <c r="D19" i="20"/>
  <c r="H19" i="20" s="1"/>
  <c r="D19" i="32"/>
  <c r="H19" i="32" s="1"/>
  <c r="U62" i="25"/>
  <c r="T70" i="25"/>
  <c r="U70" i="25" s="1"/>
  <c r="P73" i="25"/>
  <c r="P75" i="25"/>
  <c r="S75" i="25" s="1"/>
  <c r="T75" i="25" s="1"/>
  <c r="U75" i="25" s="1"/>
  <c r="P74" i="25"/>
  <c r="S74" i="25" s="1"/>
  <c r="U74" i="25" s="1"/>
  <c r="D46" i="17"/>
  <c r="G44" i="17" s="1"/>
  <c r="D47" i="17"/>
  <c r="G45" i="17" s="1"/>
  <c r="D45" i="17"/>
  <c r="G43" i="17" s="1"/>
  <c r="D43" i="17"/>
  <c r="H41" i="17" s="1"/>
  <c r="D44" i="17"/>
  <c r="G42" i="17" s="1"/>
  <c r="D50" i="17"/>
  <c r="G48" i="17" s="1"/>
  <c r="D53" i="17"/>
  <c r="D61" i="17"/>
  <c r="D42" i="17"/>
  <c r="H40" i="17" s="1"/>
  <c r="D49" i="17"/>
  <c r="G47" i="17" s="1"/>
  <c r="D41" i="17"/>
  <c r="D48" i="17"/>
  <c r="G46" i="17" s="1"/>
  <c r="D52" i="17"/>
  <c r="D51" i="17"/>
  <c r="G49" i="17" s="1"/>
  <c r="D57" i="17"/>
  <c r="D60" i="17"/>
  <c r="D58" i="17"/>
  <c r="D59" i="17"/>
  <c r="D62" i="17"/>
  <c r="U115" i="16"/>
  <c r="D56" i="17"/>
  <c r="U101" i="16"/>
  <c r="D40" i="17"/>
  <c r="U56" i="16"/>
  <c r="D17" i="17"/>
  <c r="H22" i="17" s="1"/>
  <c r="U72" i="18"/>
  <c r="P75" i="18"/>
  <c r="P76" i="18"/>
  <c r="S76" i="18" s="1"/>
  <c r="U76" i="18" s="1"/>
  <c r="P77" i="18"/>
  <c r="S77" i="18" s="1"/>
  <c r="U42" i="18"/>
  <c r="V21" i="18"/>
  <c r="F16" i="17"/>
  <c r="F27" i="17" s="1"/>
  <c r="F32" i="17" s="1"/>
  <c r="F73" i="17"/>
  <c r="G40" i="17"/>
  <c r="H42" i="17" l="1"/>
  <c r="H48" i="17"/>
  <c r="V106" i="24"/>
  <c r="V112" i="24" s="1"/>
  <c r="S98" i="24"/>
  <c r="T98" i="24" s="1"/>
  <c r="D24" i="20"/>
  <c r="H24" i="20" s="1"/>
  <c r="D24" i="32"/>
  <c r="D16" i="32" s="1"/>
  <c r="P76" i="25"/>
  <c r="S73" i="25"/>
  <c r="T73" i="25" s="1"/>
  <c r="U73" i="25" s="1"/>
  <c r="U76" i="25" s="1"/>
  <c r="D16" i="20"/>
  <c r="H47" i="17"/>
  <c r="X62" i="25"/>
  <c r="U54" i="25"/>
  <c r="G41" i="17"/>
  <c r="G17" i="20"/>
  <c r="G22" i="20"/>
  <c r="U117" i="16"/>
  <c r="D18" i="17"/>
  <c r="U26" i="16"/>
  <c r="G17" i="17"/>
  <c r="G22" i="17"/>
  <c r="D64" i="17"/>
  <c r="T77" i="18"/>
  <c r="U77" i="18" s="1"/>
  <c r="S75" i="18"/>
  <c r="P78" i="18"/>
  <c r="X42" i="18"/>
  <c r="X72" i="18" s="1"/>
  <c r="U29" i="18"/>
  <c r="P57" i="16"/>
  <c r="P60" i="16"/>
  <c r="P61" i="16"/>
  <c r="O59" i="16"/>
  <c r="P59" i="16" s="1"/>
  <c r="O58" i="16"/>
  <c r="P58" i="16" s="1"/>
  <c r="S97" i="24" l="1"/>
  <c r="H24" i="32"/>
  <c r="V54" i="25"/>
  <c r="V68" i="25" s="1"/>
  <c r="V70" i="25"/>
  <c r="V76" i="25" s="1"/>
  <c r="X54" i="25"/>
  <c r="X70" i="25" s="1"/>
  <c r="U84" i="25"/>
  <c r="U117" i="25" s="1"/>
  <c r="G16" i="20"/>
  <c r="H11" i="20"/>
  <c r="G11" i="20"/>
  <c r="D12" i="17"/>
  <c r="S58" i="16"/>
  <c r="T58" i="16" s="1"/>
  <c r="U58" i="16" s="1"/>
  <c r="V72" i="18"/>
  <c r="V29" i="18"/>
  <c r="V58" i="18" s="1"/>
  <c r="V70" i="18" s="1"/>
  <c r="T75" i="18"/>
  <c r="U75" i="18" s="1"/>
  <c r="U78" i="18" s="1"/>
  <c r="W86" i="18" s="1"/>
  <c r="Z131" i="16"/>
  <c r="Z130" i="16"/>
  <c r="Z129" i="16"/>
  <c r="AC123" i="16"/>
  <c r="Z115" i="16"/>
  <c r="Z117" i="16" s="1"/>
  <c r="Q111" i="16"/>
  <c r="Q108" i="16"/>
  <c r="Q107" i="16"/>
  <c r="Q106" i="16"/>
  <c r="Q105" i="16"/>
  <c r="Q104" i="16"/>
  <c r="Y101" i="16"/>
  <c r="W101" i="16" s="1"/>
  <c r="Q100" i="16"/>
  <c r="Q99" i="16"/>
  <c r="Q98" i="16"/>
  <c r="Q90" i="16"/>
  <c r="H81" i="16"/>
  <c r="Q80" i="16"/>
  <c r="Q82" i="16" s="1"/>
  <c r="H80" i="16"/>
  <c r="H79" i="16"/>
  <c r="U79" i="16" s="1"/>
  <c r="B76" i="16"/>
  <c r="L70" i="16"/>
  <c r="E70" i="16"/>
  <c r="G69" i="16"/>
  <c r="S69" i="16" s="1"/>
  <c r="F64" i="16"/>
  <c r="N64" i="16" s="1"/>
  <c r="S64" i="16" s="1"/>
  <c r="T64" i="16" s="1"/>
  <c r="U64" i="16" s="1"/>
  <c r="F63" i="16"/>
  <c r="G62" i="16"/>
  <c r="G61" i="16"/>
  <c r="S61" i="16" s="1"/>
  <c r="G60" i="16"/>
  <c r="S60" i="16" s="1"/>
  <c r="G59" i="16"/>
  <c r="S59" i="16" s="1"/>
  <c r="G57" i="16"/>
  <c r="S57" i="16" s="1"/>
  <c r="N56" i="16"/>
  <c r="N55" i="16"/>
  <c r="G55" i="16"/>
  <c r="N53" i="16"/>
  <c r="P53" i="16" s="1"/>
  <c r="X53" i="16" s="1"/>
  <c r="P50" i="16"/>
  <c r="S50" i="16" s="1"/>
  <c r="T50" i="16" s="1"/>
  <c r="U50" i="16" s="1"/>
  <c r="F50" i="16"/>
  <c r="N49" i="16"/>
  <c r="F48" i="16"/>
  <c r="F47" i="16"/>
  <c r="G46" i="16"/>
  <c r="G45" i="16"/>
  <c r="F44" i="16"/>
  <c r="N44" i="16" s="1"/>
  <c r="S44" i="16" s="1"/>
  <c r="N43" i="16"/>
  <c r="G43" i="16"/>
  <c r="F40" i="16"/>
  <c r="N40" i="16" s="1"/>
  <c r="F39" i="16"/>
  <c r="G38" i="16"/>
  <c r="P34" i="16"/>
  <c r="S34" i="16" s="1"/>
  <c r="T34" i="16" s="1"/>
  <c r="U34" i="16" s="1"/>
  <c r="F31" i="16"/>
  <c r="G30" i="16"/>
  <c r="N29" i="16"/>
  <c r="F28" i="16"/>
  <c r="N28" i="16" s="1"/>
  <c r="G26" i="16"/>
  <c r="N24" i="16"/>
  <c r="F23" i="16"/>
  <c r="E23" i="16"/>
  <c r="D23" i="16"/>
  <c r="F22" i="16"/>
  <c r="D21" i="16"/>
  <c r="Q20" i="16"/>
  <c r="U14" i="16"/>
  <c r="H12" i="16"/>
  <c r="I6" i="16"/>
  <c r="G119" i="25" l="1"/>
  <c r="G120" i="25"/>
  <c r="D34" i="17"/>
  <c r="N31" i="16"/>
  <c r="O30" i="16" s="1"/>
  <c r="F66" i="16"/>
  <c r="N66" i="16" s="1"/>
  <c r="F67" i="16"/>
  <c r="N67" i="16" s="1"/>
  <c r="N63" i="16"/>
  <c r="G70" i="16"/>
  <c r="F52" i="16"/>
  <c r="N52" i="16" s="1"/>
  <c r="P52" i="16" s="1"/>
  <c r="S52" i="16" s="1"/>
  <c r="T52" i="16" s="1"/>
  <c r="U52" i="16" s="1"/>
  <c r="F51" i="16"/>
  <c r="N51" i="16" s="1"/>
  <c r="P51" i="16" s="1"/>
  <c r="D20" i="17"/>
  <c r="H29" i="17" s="1"/>
  <c r="S42" i="16"/>
  <c r="S43" i="16"/>
  <c r="T44" i="16"/>
  <c r="U44" i="16" s="1"/>
  <c r="T57" i="16"/>
  <c r="U57" i="16" s="1"/>
  <c r="T59" i="16"/>
  <c r="U59" i="16" s="1"/>
  <c r="T60" i="16"/>
  <c r="U60" i="16" s="1"/>
  <c r="S68" i="16"/>
  <c r="T69" i="16"/>
  <c r="U69" i="16" s="1"/>
  <c r="U68" i="16" s="1"/>
  <c r="H12" i="17"/>
  <c r="G12" i="17"/>
  <c r="T61" i="16"/>
  <c r="U61" i="16" s="1"/>
  <c r="U86" i="18"/>
  <c r="V78" i="18"/>
  <c r="N23" i="16"/>
  <c r="O55" i="16"/>
  <c r="P55" i="16" s="1"/>
  <c r="U80" i="16"/>
  <c r="N22" i="16"/>
  <c r="G33" i="16"/>
  <c r="X33" i="16" s="1"/>
  <c r="U81" i="16"/>
  <c r="Q101" i="16"/>
  <c r="Z118" i="16"/>
  <c r="AC124" i="16"/>
  <c r="AC125" i="16" s="1"/>
  <c r="F35" i="16"/>
  <c r="N35" i="16" s="1"/>
  <c r="S35" i="16" s="1"/>
  <c r="X49" i="16"/>
  <c r="W115" i="16"/>
  <c r="Q117" i="16"/>
  <c r="Y117" i="16"/>
  <c r="Y118" i="16" s="1"/>
  <c r="Y123" i="16" s="1"/>
  <c r="X24" i="16"/>
  <c r="X27" i="16"/>
  <c r="H37" i="16"/>
  <c r="X65" i="16"/>
  <c r="H45" i="16"/>
  <c r="N45" i="16" s="1"/>
  <c r="S45" i="16" s="1"/>
  <c r="T45" i="16" s="1"/>
  <c r="U45" i="16" s="1"/>
  <c r="X56" i="16"/>
  <c r="X41" i="16"/>
  <c r="N47" i="16"/>
  <c r="X32" i="16"/>
  <c r="N48" i="16"/>
  <c r="X29" i="16"/>
  <c r="N39" i="16"/>
  <c r="X22" i="16"/>
  <c r="X23" i="16"/>
  <c r="Q61" i="16"/>
  <c r="X64" i="16"/>
  <c r="X58" i="16"/>
  <c r="D27" i="20" l="1"/>
  <c r="D26" i="20" s="1"/>
  <c r="D28" i="20" s="1"/>
  <c r="D27" i="32"/>
  <c r="D26" i="32" s="1"/>
  <c r="D28" i="32" s="1"/>
  <c r="U120" i="25"/>
  <c r="AA120" i="25" s="1"/>
  <c r="AA121" i="25" s="1"/>
  <c r="AA122" i="25" s="1"/>
  <c r="Q120" i="25"/>
  <c r="Q119" i="25"/>
  <c r="U119" i="25"/>
  <c r="S51" i="16"/>
  <c r="T51" i="16" s="1"/>
  <c r="U51" i="16" s="1"/>
  <c r="X51" i="16" s="1"/>
  <c r="D35" i="17"/>
  <c r="D34" i="20"/>
  <c r="G29" i="17"/>
  <c r="X52" i="16"/>
  <c r="O21" i="16"/>
  <c r="P21" i="16" s="1"/>
  <c r="D22" i="17"/>
  <c r="H31" i="17" s="1"/>
  <c r="H30" i="20"/>
  <c r="G30" i="20"/>
  <c r="D23" i="17"/>
  <c r="G31" i="20"/>
  <c r="H31" i="20"/>
  <c r="X44" i="16"/>
  <c r="O62" i="16"/>
  <c r="P62" i="16" s="1"/>
  <c r="S62" i="16" s="1"/>
  <c r="S63" i="16"/>
  <c r="T63" i="16" s="1"/>
  <c r="U63" i="16" s="1"/>
  <c r="X63" i="16" s="1"/>
  <c r="T35" i="16"/>
  <c r="U35" i="16" s="1"/>
  <c r="T43" i="16"/>
  <c r="U43" i="16" s="1"/>
  <c r="X43" i="16" s="1"/>
  <c r="T42" i="16"/>
  <c r="U42" i="16" s="1"/>
  <c r="X57" i="16"/>
  <c r="F70" i="16"/>
  <c r="D21" i="17"/>
  <c r="X59" i="16"/>
  <c r="X60" i="16"/>
  <c r="AB81" i="16"/>
  <c r="D36" i="17"/>
  <c r="X68" i="16"/>
  <c r="D26" i="17"/>
  <c r="D25" i="17" s="1"/>
  <c r="D19" i="17"/>
  <c r="T68" i="16"/>
  <c r="X61" i="16"/>
  <c r="U119" i="18"/>
  <c r="U82" i="16"/>
  <c r="Q84" i="16" s="1"/>
  <c r="Q118" i="16" s="1"/>
  <c r="O38" i="16"/>
  <c r="P38" i="16" s="1"/>
  <c r="S38" i="16" s="1"/>
  <c r="O46" i="16"/>
  <c r="P46" i="16" s="1"/>
  <c r="S46" i="16" s="1"/>
  <c r="P30" i="16"/>
  <c r="S30" i="16" s="1"/>
  <c r="O26" i="16"/>
  <c r="S14" i="16" s="1"/>
  <c r="S16" i="16" s="1"/>
  <c r="G37" i="16"/>
  <c r="N37" i="16" s="1"/>
  <c r="P36" i="16"/>
  <c r="AB80" i="16"/>
  <c r="P35" i="16"/>
  <c r="W118" i="16"/>
  <c r="W117" i="16"/>
  <c r="X34" i="16"/>
  <c r="X40" i="16"/>
  <c r="X48" i="16"/>
  <c r="X50" i="16"/>
  <c r="X45" i="16"/>
  <c r="X39" i="16"/>
  <c r="X26" i="16"/>
  <c r="X47" i="16"/>
  <c r="X31" i="16"/>
  <c r="D33" i="17" l="1"/>
  <c r="Q121" i="25"/>
  <c r="Q122" i="25" s="1"/>
  <c r="AB82" i="16"/>
  <c r="AB84" i="16" s="1"/>
  <c r="AB123" i="16" s="1"/>
  <c r="U121" i="25"/>
  <c r="U122" i="25" s="1"/>
  <c r="Z119" i="25"/>
  <c r="Z121" i="25" s="1"/>
  <c r="W50" i="16"/>
  <c r="G31" i="17"/>
  <c r="O68" i="16"/>
  <c r="H32" i="20"/>
  <c r="G32" i="20"/>
  <c r="G29" i="20" s="1"/>
  <c r="P37" i="16"/>
  <c r="S37" i="16"/>
  <c r="S25" i="16" s="1"/>
  <c r="X35" i="16"/>
  <c r="X42" i="16"/>
  <c r="V42" i="16"/>
  <c r="N70" i="16"/>
  <c r="T38" i="16"/>
  <c r="U38" i="16" s="1"/>
  <c r="T46" i="16"/>
  <c r="U46" i="16" s="1"/>
  <c r="H30" i="17"/>
  <c r="G30" i="17"/>
  <c r="R38" i="16"/>
  <c r="T30" i="16"/>
  <c r="U30" i="16" s="1"/>
  <c r="T62" i="16"/>
  <c r="U62" i="16" s="1"/>
  <c r="U54" i="16" s="1"/>
  <c r="S54" i="16"/>
  <c r="G121" i="18"/>
  <c r="G122" i="18"/>
  <c r="S21" i="16"/>
  <c r="S20" i="16" s="1"/>
  <c r="R21" i="16"/>
  <c r="P68" i="16"/>
  <c r="P26" i="16"/>
  <c r="R26" i="16" s="1"/>
  <c r="O54" i="16"/>
  <c r="X55" i="16"/>
  <c r="W121" i="25" l="1"/>
  <c r="Z122" i="25"/>
  <c r="U123" i="25"/>
  <c r="U124" i="25" s="1"/>
  <c r="G123" i="25"/>
  <c r="Q123" i="25" s="1"/>
  <c r="Q124" i="25" s="1"/>
  <c r="D15" i="17"/>
  <c r="G15" i="17" s="1"/>
  <c r="T37" i="16"/>
  <c r="U37" i="16" s="1"/>
  <c r="U25" i="16" s="1"/>
  <c r="D14" i="17"/>
  <c r="G14" i="17" s="1"/>
  <c r="X38" i="16"/>
  <c r="D13" i="17"/>
  <c r="X30" i="16"/>
  <c r="D24" i="17"/>
  <c r="D16" i="17" s="1"/>
  <c r="X54" i="16"/>
  <c r="T21" i="16"/>
  <c r="X46" i="16"/>
  <c r="U122" i="18"/>
  <c r="AA122" i="18" s="1"/>
  <c r="AA123" i="18" s="1"/>
  <c r="AA124" i="18" s="1"/>
  <c r="Q122" i="18"/>
  <c r="U121" i="18"/>
  <c r="Q121" i="18"/>
  <c r="P54" i="16"/>
  <c r="R69" i="16" s="1"/>
  <c r="Q25" i="16"/>
  <c r="Q70" i="16" s="1"/>
  <c r="X62" i="16"/>
  <c r="X36" i="16"/>
  <c r="X28" i="16"/>
  <c r="L75" i="16"/>
  <c r="L74" i="16"/>
  <c r="Y127" i="25" l="1"/>
  <c r="Y131" i="25" s="1"/>
  <c r="W122" i="25"/>
  <c r="Q123" i="18"/>
  <c r="Q124" i="18" s="1"/>
  <c r="H15" i="17"/>
  <c r="T70" i="16"/>
  <c r="G14" i="20"/>
  <c r="H14" i="20"/>
  <c r="G12" i="20"/>
  <c r="G10" i="20" s="1"/>
  <c r="V34" i="16"/>
  <c r="X37" i="16"/>
  <c r="S70" i="16"/>
  <c r="G13" i="17"/>
  <c r="D11" i="17"/>
  <c r="U21" i="16"/>
  <c r="Z121" i="18"/>
  <c r="Z123" i="18" s="1"/>
  <c r="U123" i="18"/>
  <c r="U124" i="18" s="1"/>
  <c r="Q73" i="16"/>
  <c r="P70" i="16"/>
  <c r="L73" i="16" s="1"/>
  <c r="L76" i="16" s="1"/>
  <c r="P75" i="16" l="1"/>
  <c r="S75" i="16" s="1"/>
  <c r="T75" i="16" s="1"/>
  <c r="P74" i="16"/>
  <c r="S74" i="16" s="1"/>
  <c r="U74" i="16" s="1"/>
  <c r="P73" i="16"/>
  <c r="S73" i="16" s="1"/>
  <c r="T73" i="16" s="1"/>
  <c r="U20" i="16"/>
  <c r="D9" i="17"/>
  <c r="X21" i="16"/>
  <c r="X70" i="16" s="1"/>
  <c r="U70" i="16"/>
  <c r="U125" i="18"/>
  <c r="U126" i="18" s="1"/>
  <c r="G125" i="18"/>
  <c r="Q125" i="18" s="1"/>
  <c r="Q126" i="18" s="1"/>
  <c r="W123" i="18"/>
  <c r="Z124" i="18"/>
  <c r="Q75" i="16"/>
  <c r="Q74" i="16"/>
  <c r="D30" i="17" l="1"/>
  <c r="P76" i="16"/>
  <c r="U75" i="16"/>
  <c r="D8" i="17"/>
  <c r="V54" i="16"/>
  <c r="V68" i="16" s="1"/>
  <c r="V70" i="16"/>
  <c r="U73" i="16"/>
  <c r="W124" i="18"/>
  <c r="Y129" i="18"/>
  <c r="Y133" i="18" s="1"/>
  <c r="Q76" i="16"/>
  <c r="N76" i="16"/>
  <c r="D31" i="17" l="1"/>
  <c r="U76" i="16"/>
  <c r="D29" i="17"/>
  <c r="H8" i="17"/>
  <c r="G8" i="17"/>
  <c r="D27" i="17"/>
  <c r="D28" i="17" l="1"/>
  <c r="D32" i="17" s="1"/>
  <c r="U84" i="16"/>
  <c r="U118" i="16" s="1"/>
  <c r="V76" i="16"/>
  <c r="H32" i="17" l="1"/>
  <c r="G32" i="17"/>
  <c r="D65" i="17"/>
  <c r="G120" i="16"/>
  <c r="G121" i="16"/>
  <c r="U120" i="16" l="1"/>
  <c r="Q120" i="16"/>
  <c r="U121" i="16"/>
  <c r="Q121" i="16"/>
  <c r="Q122" i="16" l="1"/>
  <c r="Q123" i="16" s="1"/>
  <c r="D68" i="17"/>
  <c r="AA121" i="16"/>
  <c r="AA122" i="16" s="1"/>
  <c r="AA123" i="16" s="1"/>
  <c r="D67" i="17"/>
  <c r="U122" i="16"/>
  <c r="U123" i="16" s="1"/>
  <c r="Z120" i="16"/>
  <c r="Z122" i="16" s="1"/>
  <c r="D69" i="17" l="1"/>
  <c r="D70" i="17" s="1"/>
  <c r="D71" i="17" s="1"/>
  <c r="D72" i="17" s="1"/>
  <c r="D73" i="17" s="1"/>
  <c r="W122" i="16"/>
  <c r="Z123" i="16"/>
  <c r="U124" i="16"/>
  <c r="U125" i="16" s="1"/>
  <c r="G124" i="16"/>
  <c r="Q124" i="16" s="1"/>
  <c r="Q125" i="16" s="1"/>
  <c r="F68" i="8"/>
  <c r="Q68" i="8" s="1"/>
  <c r="R68" i="8" s="1"/>
  <c r="F67" i="8"/>
  <c r="N66" i="8"/>
  <c r="O66" i="8" s="1"/>
  <c r="P66" i="8" s="1"/>
  <c r="N64" i="8"/>
  <c r="N63" i="8"/>
  <c r="N62" i="8"/>
  <c r="O62" i="8" s="1"/>
  <c r="P62" i="8" s="1"/>
  <c r="N60" i="8"/>
  <c r="N34" i="8"/>
  <c r="O34" i="8" s="1"/>
  <c r="P34" i="8" s="1"/>
  <c r="N30" i="8"/>
  <c r="O30" i="8" s="1"/>
  <c r="N21" i="8"/>
  <c r="O21" i="8" s="1"/>
  <c r="G67" i="8"/>
  <c r="O64" i="8"/>
  <c r="P64" i="8" s="1"/>
  <c r="H67" i="8" l="1"/>
  <c r="Q67" i="8" s="1"/>
  <c r="R67" i="8" s="1"/>
  <c r="S67" i="8" s="1"/>
  <c r="T67" i="8" s="1"/>
  <c r="V67" i="8" s="1"/>
  <c r="P21" i="8"/>
  <c r="X21" i="8" s="1"/>
  <c r="P30" i="8"/>
  <c r="O60" i="8"/>
  <c r="P60" i="8" s="1"/>
  <c r="Y128" i="16"/>
  <c r="Y132" i="16" s="1"/>
  <c r="W123" i="16"/>
  <c r="S68" i="8"/>
  <c r="T68" i="8" s="1"/>
  <c r="V68" i="8" s="1"/>
  <c r="Y67" i="8"/>
  <c r="E18" i="14"/>
  <c r="E14" i="14"/>
  <c r="E7" i="14"/>
  <c r="E3" i="14"/>
  <c r="E2" i="14"/>
  <c r="E17" i="14" l="1"/>
  <c r="E19" i="14" s="1"/>
  <c r="E23" i="14" s="1"/>
  <c r="Y68" i="8"/>
  <c r="V114" i="8"/>
  <c r="V111" i="8"/>
  <c r="V112" i="8"/>
  <c r="V90" i="8"/>
  <c r="V89" i="8" l="1"/>
  <c r="N40" i="15" l="1"/>
  <c r="P57" i="15" l="1"/>
  <c r="P58" i="15" s="1"/>
  <c r="P54" i="15"/>
  <c r="P55" i="15" s="1"/>
  <c r="N54" i="15"/>
  <c r="N55" i="15" s="1"/>
  <c r="P53" i="15"/>
  <c r="O44" i="15"/>
  <c r="F42" i="15"/>
  <c r="E42" i="15"/>
  <c r="L41" i="15"/>
  <c r="F34" i="15"/>
  <c r="V30" i="15"/>
  <c r="Y25" i="15"/>
  <c r="O17" i="15"/>
  <c r="K16" i="15"/>
  <c r="J34" i="15" l="1"/>
  <c r="K34" i="15" s="1"/>
  <c r="L34" i="15" s="1"/>
  <c r="D46" i="15" s="1"/>
  <c r="O40" i="15"/>
  <c r="Q40" i="15" s="1"/>
  <c r="Q42" i="15" s="1"/>
  <c r="L42" i="15"/>
  <c r="D48" i="15" l="1"/>
  <c r="D49" i="15"/>
  <c r="D50" i="15"/>
  <c r="N46" i="15"/>
  <c r="I46" i="15"/>
  <c r="O42" i="15"/>
  <c r="O43" i="15" s="1"/>
  <c r="G47" i="15"/>
  <c r="G48" i="15" s="1"/>
  <c r="D51" i="15" l="1"/>
  <c r="D52" i="15" s="1"/>
  <c r="D53" i="15" s="1"/>
  <c r="I47" i="15"/>
  <c r="I48" i="15" s="1"/>
  <c r="I50" i="15" s="1"/>
  <c r="I51" i="15" s="1"/>
  <c r="I52" i="15" s="1"/>
  <c r="G49" i="15"/>
  <c r="G50" i="15" s="1"/>
  <c r="G51" i="15" l="1"/>
  <c r="G52" i="15" s="1"/>
  <c r="V91" i="8" l="1"/>
  <c r="G69" i="8" l="1"/>
  <c r="Q69" i="8"/>
  <c r="R69" i="8" s="1"/>
  <c r="G49" i="8"/>
  <c r="F49" i="8"/>
  <c r="F48" i="8"/>
  <c r="R48" i="8" s="1"/>
  <c r="G47" i="8"/>
  <c r="R57" i="8"/>
  <c r="S57" i="8" s="1"/>
  <c r="T57" i="8" s="1"/>
  <c r="V57" i="8" s="1"/>
  <c r="Y57" i="8" s="1"/>
  <c r="Q57" i="8"/>
  <c r="F56" i="8"/>
  <c r="R56" i="8" s="1"/>
  <c r="F55" i="8"/>
  <c r="Q55" i="8" s="1"/>
  <c r="Q38" i="8"/>
  <c r="F39" i="8"/>
  <c r="R39" i="8" s="1"/>
  <c r="Q54" i="8"/>
  <c r="F54" i="8"/>
  <c r="Q37" i="8"/>
  <c r="Q46" i="8"/>
  <c r="R46" i="8" s="1"/>
  <c r="S69" i="8" l="1"/>
  <c r="T69" i="8" s="1"/>
  <c r="V69" i="8" s="1"/>
  <c r="Y69" i="8" s="1"/>
  <c r="S56" i="8"/>
  <c r="T56" i="8" s="1"/>
  <c r="V56" i="8" s="1"/>
  <c r="Y56" i="8" s="1"/>
  <c r="Q56" i="8"/>
  <c r="Q48" i="8"/>
  <c r="S48" i="8"/>
  <c r="T48" i="8" s="1"/>
  <c r="V48" i="8" s="1"/>
  <c r="Y48" i="8" s="1"/>
  <c r="F41" i="8"/>
  <c r="R55" i="8"/>
  <c r="Q47" i="8"/>
  <c r="R47" i="8" l="1"/>
  <c r="S47" i="8" s="1"/>
  <c r="T47" i="8" s="1"/>
  <c r="V47" i="8" s="1"/>
  <c r="Y47" i="8" s="1"/>
  <c r="S55" i="8"/>
  <c r="T55" i="8" s="1"/>
  <c r="V55" i="8" s="1"/>
  <c r="Y55" i="8" s="1"/>
  <c r="S46" i="8"/>
  <c r="T46" i="8" s="1"/>
  <c r="V46" i="8" s="1"/>
  <c r="Y46" i="8" s="1"/>
  <c r="Q24" i="8"/>
  <c r="R24" i="8" s="1"/>
  <c r="S24" i="8" l="1"/>
  <c r="T24" i="8" s="1"/>
  <c r="V24" i="8" s="1"/>
  <c r="Y24" i="8" s="1"/>
  <c r="B29" i="12"/>
  <c r="C29" i="12" s="1"/>
  <c r="V96" i="8"/>
  <c r="G71" i="8"/>
  <c r="R71" i="8" s="1"/>
  <c r="S71" i="8" l="1"/>
  <c r="T71" i="8" s="1"/>
  <c r="V71" i="8" s="1"/>
  <c r="H83" i="8"/>
  <c r="V83" i="8" s="1"/>
  <c r="H82" i="8"/>
  <c r="V82" i="8" s="1"/>
  <c r="H81" i="8"/>
  <c r="V81" i="8" s="1"/>
  <c r="T8" i="8"/>
  <c r="T10" i="8" s="1"/>
  <c r="G66" i="8"/>
  <c r="G65" i="8"/>
  <c r="G64" i="8"/>
  <c r="G63" i="8"/>
  <c r="R63" i="8" s="1"/>
  <c r="S63" i="8" s="1"/>
  <c r="G62" i="8"/>
  <c r="R65" i="8" l="1"/>
  <c r="N65" i="8"/>
  <c r="V84" i="8"/>
  <c r="T9" i="8"/>
  <c r="T11" i="8" s="1"/>
  <c r="T13" i="8" s="1"/>
  <c r="S65" i="8"/>
  <c r="T65" i="8" s="1"/>
  <c r="O65" i="8" l="1"/>
  <c r="P65" i="8" s="1"/>
  <c r="U65" i="8"/>
  <c r="V65" i="8"/>
  <c r="Y65" i="8" s="1"/>
  <c r="I6" i="8" l="1"/>
  <c r="R9" i="8" s="1"/>
  <c r="G61" i="8"/>
  <c r="R61" i="8" s="1"/>
  <c r="S61" i="8" s="1"/>
  <c r="H12" i="8"/>
  <c r="I12" i="8" s="1"/>
  <c r="Q60" i="8"/>
  <c r="R60" i="8" s="1"/>
  <c r="Q59" i="8"/>
  <c r="G59" i="8"/>
  <c r="N59" i="8" s="1"/>
  <c r="Q53" i="8"/>
  <c r="F52" i="8"/>
  <c r="H52" i="8"/>
  <c r="H51" i="8"/>
  <c r="F51" i="8"/>
  <c r="G50" i="8"/>
  <c r="R45" i="8"/>
  <c r="Q45" i="8"/>
  <c r="Q28" i="8"/>
  <c r="H44" i="8"/>
  <c r="H49" i="8" s="1"/>
  <c r="R49" i="8" s="1"/>
  <c r="F44" i="8"/>
  <c r="H43" i="8"/>
  <c r="F43" i="8"/>
  <c r="G42" i="8"/>
  <c r="R42" i="8" s="1"/>
  <c r="F36" i="8"/>
  <c r="G36" i="8" s="1"/>
  <c r="H36" i="8"/>
  <c r="H35" i="8"/>
  <c r="H41" i="8" s="1"/>
  <c r="R41" i="8" s="1"/>
  <c r="F35" i="8"/>
  <c r="G35" i="8" s="1"/>
  <c r="Q35" i="8" s="1"/>
  <c r="Q33" i="8"/>
  <c r="R33" i="8" s="1"/>
  <c r="O59" i="8" l="1"/>
  <c r="P59" i="8" s="1"/>
  <c r="Q49" i="8"/>
  <c r="S49" i="8"/>
  <c r="T49" i="8" s="1"/>
  <c r="V49" i="8" s="1"/>
  <c r="Y49" i="8" s="1"/>
  <c r="R50" i="8"/>
  <c r="S50" i="8" s="1"/>
  <c r="T50" i="8" s="1"/>
  <c r="V50" i="8" s="1"/>
  <c r="Y50" i="8" s="1"/>
  <c r="G54" i="8"/>
  <c r="R54" i="8" s="1"/>
  <c r="R36" i="8"/>
  <c r="S36" i="8" s="1"/>
  <c r="T36" i="8" s="1"/>
  <c r="V36" i="8" s="1"/>
  <c r="Y36" i="8" s="1"/>
  <c r="R53" i="8"/>
  <c r="S53" i="8" s="1"/>
  <c r="T53" i="8" s="1"/>
  <c r="V53" i="8" s="1"/>
  <c r="Y53" i="8" s="1"/>
  <c r="R59" i="8"/>
  <c r="R35" i="8"/>
  <c r="S35" i="8" s="1"/>
  <c r="Q52" i="8"/>
  <c r="Q51" i="8"/>
  <c r="R44" i="8"/>
  <c r="S44" i="8" s="1"/>
  <c r="R52" i="8"/>
  <c r="S52" i="8" s="1"/>
  <c r="T52" i="8" s="1"/>
  <c r="V52" i="8" s="1"/>
  <c r="Y52" i="8" s="1"/>
  <c r="S60" i="8"/>
  <c r="T60" i="8" s="1"/>
  <c r="V60" i="8" s="1"/>
  <c r="Y60" i="8" s="1"/>
  <c r="R51" i="8"/>
  <c r="Q43" i="8"/>
  <c r="Q36" i="8"/>
  <c r="S45" i="8"/>
  <c r="T45" i="8" s="1"/>
  <c r="V45" i="8" s="1"/>
  <c r="Y45" i="8" s="1"/>
  <c r="R43" i="8"/>
  <c r="S43" i="8" s="1"/>
  <c r="Q44" i="8"/>
  <c r="S33" i="8"/>
  <c r="T33" i="8" s="1"/>
  <c r="V33" i="8" s="1"/>
  <c r="G34" i="8"/>
  <c r="G38" i="8" s="1"/>
  <c r="H32" i="8"/>
  <c r="H26" i="8"/>
  <c r="H23" i="8"/>
  <c r="H31" i="8"/>
  <c r="H22" i="8"/>
  <c r="F32" i="8"/>
  <c r="G32" i="8" s="1"/>
  <c r="F31" i="8"/>
  <c r="G30" i="8"/>
  <c r="R28" i="8"/>
  <c r="F27" i="8"/>
  <c r="Q27" i="8" s="1"/>
  <c r="F23" i="8"/>
  <c r="F22" i="8"/>
  <c r="R21" i="8"/>
  <c r="D21" i="8"/>
  <c r="F26" i="8"/>
  <c r="E23" i="8"/>
  <c r="D23" i="8"/>
  <c r="S59" i="8" l="1"/>
  <c r="Q23" i="8"/>
  <c r="Y33" i="8"/>
  <c r="D13" i="13"/>
  <c r="T35" i="8"/>
  <c r="V35" i="8" s="1"/>
  <c r="Y35" i="8" s="1"/>
  <c r="S54" i="8"/>
  <c r="T54" i="8" s="1"/>
  <c r="V54" i="8" s="1"/>
  <c r="Y54" i="8" s="1"/>
  <c r="G40" i="8"/>
  <c r="R38" i="8"/>
  <c r="T59" i="8"/>
  <c r="V59" i="8" s="1"/>
  <c r="Q32" i="8"/>
  <c r="R32" i="8" s="1"/>
  <c r="Q31" i="8"/>
  <c r="R31" i="8" s="1"/>
  <c r="S51" i="8"/>
  <c r="T51" i="8" s="1"/>
  <c r="V51" i="8" s="1"/>
  <c r="Y51" i="8" s="1"/>
  <c r="R34" i="8"/>
  <c r="S34" i="8" s="1"/>
  <c r="T34" i="8" s="1"/>
  <c r="V34" i="8" s="1"/>
  <c r="Y34" i="8" s="1"/>
  <c r="G37" i="8"/>
  <c r="R37" i="8" s="1"/>
  <c r="Q22" i="8"/>
  <c r="S22" i="8" s="1"/>
  <c r="Q26" i="8"/>
  <c r="R26" i="8" s="1"/>
  <c r="R30" i="8"/>
  <c r="S28" i="8"/>
  <c r="T28" i="8" s="1"/>
  <c r="V28" i="8" s="1"/>
  <c r="Y28" i="8" s="1"/>
  <c r="S21" i="8"/>
  <c r="T21" i="8" s="1"/>
  <c r="V21" i="8" s="1"/>
  <c r="D7" i="13" s="1"/>
  <c r="F26" i="13"/>
  <c r="R27" i="8"/>
  <c r="Y59" i="8" l="1"/>
  <c r="H13" i="13"/>
  <c r="G13" i="13"/>
  <c r="Y21" i="8"/>
  <c r="R40" i="8"/>
  <c r="S40" i="8" s="1"/>
  <c r="T40" i="8" s="1"/>
  <c r="V40" i="8" s="1"/>
  <c r="Y40" i="8" s="1"/>
  <c r="Q39" i="8"/>
  <c r="G41" i="8"/>
  <c r="Q41" i="8" s="1"/>
  <c r="S39" i="8"/>
  <c r="T39" i="8" s="1"/>
  <c r="V39" i="8" s="1"/>
  <c r="S38" i="8"/>
  <c r="T38" i="8" s="1"/>
  <c r="V38" i="8" s="1"/>
  <c r="Y38" i="8" s="1"/>
  <c r="S37" i="8"/>
  <c r="T37" i="8" s="1"/>
  <c r="V37" i="8" s="1"/>
  <c r="Y37" i="8" s="1"/>
  <c r="S30" i="8"/>
  <c r="T30" i="8" s="1"/>
  <c r="V30" i="8" s="1"/>
  <c r="R22" i="8"/>
  <c r="I19" i="13"/>
  <c r="F28" i="13"/>
  <c r="F33" i="13" s="1"/>
  <c r="I22" i="13"/>
  <c r="R58" i="8" l="1"/>
  <c r="Y39" i="8"/>
  <c r="Y30" i="8"/>
  <c r="D10" i="13"/>
  <c r="S41" i="8"/>
  <c r="T41" i="8" s="1"/>
  <c r="V41" i="8" s="1"/>
  <c r="Y41" i="8" s="1"/>
  <c r="T22" i="8"/>
  <c r="H30" i="13"/>
  <c r="G30" i="13"/>
  <c r="S27" i="8"/>
  <c r="R23" i="8"/>
  <c r="S23" i="8" s="1"/>
  <c r="E27" i="8"/>
  <c r="W38" i="8" l="1"/>
  <c r="T23" i="8"/>
  <c r="V23" i="8" s="1"/>
  <c r="T27" i="8"/>
  <c r="V27" i="8" s="1"/>
  <c r="Y27" i="8" l="1"/>
  <c r="D9" i="13"/>
  <c r="G9" i="13" s="1"/>
  <c r="Y23" i="8"/>
  <c r="G42" i="13"/>
  <c r="H42" i="13"/>
  <c r="G43" i="13"/>
  <c r="G44" i="13"/>
  <c r="G45" i="13"/>
  <c r="G46" i="13"/>
  <c r="G47" i="13"/>
  <c r="H47" i="13"/>
  <c r="G48" i="13"/>
  <c r="H48" i="13"/>
  <c r="G49" i="13"/>
  <c r="F57" i="13"/>
  <c r="D64" i="13"/>
  <c r="F64" i="13"/>
  <c r="H64" i="13" l="1"/>
  <c r="G64" i="13"/>
  <c r="H9" i="13"/>
  <c r="F61" i="13"/>
  <c r="F67" i="13" s="1"/>
  <c r="F68" i="13" s="1"/>
  <c r="F69" i="13" s="1"/>
  <c r="AA116" i="8"/>
  <c r="V107" i="8"/>
  <c r="G41" i="13"/>
  <c r="V109" i="8"/>
  <c r="V108" i="8"/>
  <c r="V106" i="8"/>
  <c r="V100" i="8"/>
  <c r="V101" i="8"/>
  <c r="V99" i="8"/>
  <c r="V97" i="8"/>
  <c r="V98" i="8"/>
  <c r="V95" i="8"/>
  <c r="V94" i="8"/>
  <c r="B120" i="12"/>
  <c r="B119" i="12"/>
  <c r="C113" i="12"/>
  <c r="B107" i="12"/>
  <c r="B110" i="12" s="1"/>
  <c r="U112" i="12"/>
  <c r="B121" i="12" l="1"/>
  <c r="B111" i="12"/>
  <c r="C115" i="12" s="1"/>
  <c r="G39" i="13"/>
  <c r="H39" i="13"/>
  <c r="G40" i="13"/>
  <c r="H40" i="13"/>
  <c r="AA132" i="8"/>
  <c r="AA131" i="8"/>
  <c r="AA130" i="8"/>
  <c r="V113" i="8"/>
  <c r="V110" i="8"/>
  <c r="S26" i="8"/>
  <c r="T26" i="8" s="1"/>
  <c r="F75" i="12"/>
  <c r="V116" i="8" l="1"/>
  <c r="G57" i="13"/>
  <c r="H57" i="13"/>
  <c r="F72" i="12"/>
  <c r="F70" i="12"/>
  <c r="F69" i="12"/>
  <c r="F68" i="12"/>
  <c r="F66" i="12"/>
  <c r="F62" i="12"/>
  <c r="F73" i="12" s="1"/>
  <c r="F61" i="12"/>
  <c r="F60" i="12"/>
  <c r="F71" i="12" s="1"/>
  <c r="D51" i="12"/>
  <c r="F51" i="12" s="1"/>
  <c r="B44" i="12"/>
  <c r="C44" i="12" s="1"/>
  <c r="D47" i="12"/>
  <c r="F74" i="12" l="1"/>
  <c r="F76" i="12"/>
  <c r="H68" i="12" s="1"/>
  <c r="H66" i="12"/>
  <c r="V93" i="8"/>
  <c r="V92" i="8"/>
  <c r="E27" i="11" l="1"/>
  <c r="F27" i="11" s="1"/>
  <c r="E26" i="11"/>
  <c r="F26" i="11" s="1"/>
  <c r="E25" i="11"/>
  <c r="F25" i="11" s="1"/>
  <c r="E24" i="11"/>
  <c r="F24" i="11" s="1"/>
  <c r="F28" i="11" s="1"/>
  <c r="F29" i="11" s="1"/>
  <c r="C20" i="11"/>
  <c r="C21" i="11" s="1"/>
  <c r="C14" i="11"/>
  <c r="C15" i="11" s="1"/>
  <c r="E6" i="11"/>
  <c r="F6" i="11" s="1"/>
  <c r="E5" i="11"/>
  <c r="F5" i="11" s="1"/>
  <c r="E4" i="11"/>
  <c r="F4" i="11" s="1"/>
  <c r="E3" i="11"/>
  <c r="F3" i="11" s="1"/>
  <c r="E2" i="11"/>
  <c r="F2" i="11" s="1"/>
  <c r="F72" i="8"/>
  <c r="F7" i="11" l="1"/>
  <c r="F8" i="11" s="1"/>
  <c r="AC83" i="8"/>
  <c r="R62" i="8" l="1"/>
  <c r="S62" i="8" l="1"/>
  <c r="R66" i="8"/>
  <c r="R64" i="8"/>
  <c r="S64" i="8" s="1"/>
  <c r="T62" i="8"/>
  <c r="R70" i="8" l="1"/>
  <c r="S66" i="8"/>
  <c r="V62" i="8"/>
  <c r="T63" i="8"/>
  <c r="D23" i="13" l="1"/>
  <c r="G23" i="13" s="1"/>
  <c r="Y62" i="8"/>
  <c r="T66" i="8"/>
  <c r="V66" i="8" s="1"/>
  <c r="T61" i="8"/>
  <c r="V61" i="8" s="1"/>
  <c r="V63" i="8"/>
  <c r="T64" i="8"/>
  <c r="V64" i="8" s="1"/>
  <c r="Y61" i="8" l="1"/>
  <c r="V70" i="8"/>
  <c r="D25" i="13"/>
  <c r="H25" i="13" s="1"/>
  <c r="Y64" i="8"/>
  <c r="D27" i="13"/>
  <c r="H27" i="13" s="1"/>
  <c r="Y66" i="8"/>
  <c r="D24" i="13"/>
  <c r="H24" i="13" s="1"/>
  <c r="Y63" i="8"/>
  <c r="V58" i="8"/>
  <c r="D22" i="13"/>
  <c r="H22" i="13" s="1"/>
  <c r="S42" i="8"/>
  <c r="T42" i="8" s="1"/>
  <c r="Q21" i="9"/>
  <c r="Q22" i="9" s="1"/>
  <c r="G25" i="13" l="1"/>
  <c r="G24" i="13"/>
  <c r="G27" i="13"/>
  <c r="G22" i="13"/>
  <c r="T43" i="8"/>
  <c r="V43" i="8" s="1"/>
  <c r="T44" i="8"/>
  <c r="V44" i="8" s="1"/>
  <c r="V42" i="8"/>
  <c r="W42" i="8" s="1"/>
  <c r="W29" i="8" s="1"/>
  <c r="G25" i="8"/>
  <c r="R25" i="8" s="1"/>
  <c r="R29" i="8" s="1"/>
  <c r="R72" i="8" s="1"/>
  <c r="D20" i="13" l="1"/>
  <c r="G20" i="13" s="1"/>
  <c r="Y44" i="8"/>
  <c r="D18" i="13"/>
  <c r="G18" i="13" s="1"/>
  <c r="Y42" i="8"/>
  <c r="D19" i="13"/>
  <c r="G19" i="13" s="1"/>
  <c r="Y43" i="8"/>
  <c r="U113" i="8"/>
  <c r="U110" i="8"/>
  <c r="U109" i="8"/>
  <c r="U108" i="8"/>
  <c r="U106" i="8"/>
  <c r="V102" i="8"/>
  <c r="V103" i="8" s="1"/>
  <c r="U102" i="8"/>
  <c r="U101" i="8"/>
  <c r="U100" i="8"/>
  <c r="U92" i="8"/>
  <c r="AC82" i="8"/>
  <c r="AC84" i="8" s="1"/>
  <c r="AC86" i="8" s="1"/>
  <c r="AC124" i="8" s="1"/>
  <c r="U82" i="8"/>
  <c r="U84" i="8" s="1"/>
  <c r="B78" i="8"/>
  <c r="E72" i="8"/>
  <c r="V14" i="8"/>
  <c r="G72" i="8" l="1"/>
  <c r="V118" i="8"/>
  <c r="V26" i="8"/>
  <c r="S25" i="8"/>
  <c r="Z103" i="8"/>
  <c r="Z118" i="8" s="1"/>
  <c r="Z119" i="8" s="1"/>
  <c r="U103" i="8"/>
  <c r="U107" i="8"/>
  <c r="AA119" i="8" s="1"/>
  <c r="Y26" i="8" l="1"/>
  <c r="T25" i="8"/>
  <c r="U25" i="8" s="1"/>
  <c r="S31" i="8"/>
  <c r="T31" i="8" s="1"/>
  <c r="V31" i="8" s="1"/>
  <c r="S32" i="8"/>
  <c r="AD124" i="8"/>
  <c r="AD125" i="8" s="1"/>
  <c r="AD126" i="8" s="1"/>
  <c r="X116" i="8"/>
  <c r="AA118" i="8"/>
  <c r="U118" i="8"/>
  <c r="D26" i="13"/>
  <c r="X103" i="8"/>
  <c r="L72" i="8"/>
  <c r="Y31" i="8" l="1"/>
  <c r="D11" i="13"/>
  <c r="D15" i="13"/>
  <c r="G15" i="13" s="1"/>
  <c r="U29" i="8"/>
  <c r="T32" i="8"/>
  <c r="V32" i="8" s="1"/>
  <c r="D12" i="13" s="1"/>
  <c r="V25" i="8"/>
  <c r="U20" i="8"/>
  <c r="H26" i="13"/>
  <c r="G26" i="13"/>
  <c r="Q72" i="8"/>
  <c r="Z124" i="8"/>
  <c r="X118" i="8"/>
  <c r="Y25" i="8" l="1"/>
  <c r="W20" i="8"/>
  <c r="W72" i="8" s="1"/>
  <c r="H11" i="13"/>
  <c r="G11" i="13"/>
  <c r="G12" i="13"/>
  <c r="H12" i="13"/>
  <c r="D17" i="13"/>
  <c r="G17" i="13" s="1"/>
  <c r="Y32" i="8"/>
  <c r="V29" i="8"/>
  <c r="D21" i="13"/>
  <c r="H15" i="13"/>
  <c r="G10" i="13"/>
  <c r="U72" i="8"/>
  <c r="S72" i="8"/>
  <c r="L76" i="8"/>
  <c r="R76" i="8" s="1"/>
  <c r="T76" i="8" s="1"/>
  <c r="H17" i="13" l="1"/>
  <c r="G21" i="13"/>
  <c r="H21" i="13"/>
  <c r="H10" i="13"/>
  <c r="R77" i="8"/>
  <c r="R75" i="8"/>
  <c r="L77" i="8"/>
  <c r="V76" i="8"/>
  <c r="D29" i="13" s="1"/>
  <c r="V22" i="8"/>
  <c r="Y22" i="8" l="1"/>
  <c r="Y72" i="8" s="1"/>
  <c r="V72" i="8"/>
  <c r="D14" i="13"/>
  <c r="G7" i="13"/>
  <c r="D8" i="13"/>
  <c r="G8" i="13" s="1"/>
  <c r="S75" i="8"/>
  <c r="T75" i="8" s="1"/>
  <c r="H29" i="13"/>
  <c r="G29" i="13"/>
  <c r="S77" i="8"/>
  <c r="T77" i="8" s="1"/>
  <c r="V77" i="8" s="1"/>
  <c r="T72" i="8"/>
  <c r="L75" i="8" s="1"/>
  <c r="V75" i="8" l="1"/>
  <c r="D28" i="13" s="1"/>
  <c r="D33" i="13" s="1"/>
  <c r="H33" i="13" s="1"/>
  <c r="T78" i="8"/>
  <c r="G14" i="13"/>
  <c r="H14" i="13"/>
  <c r="H7" i="13"/>
  <c r="H8" i="13"/>
  <c r="V78" i="8" l="1"/>
  <c r="X86" i="8" s="1"/>
  <c r="H28" i="13"/>
  <c r="G28" i="13"/>
  <c r="D61" i="13"/>
  <c r="H61" i="13" s="1"/>
  <c r="G33" i="13"/>
  <c r="Q75" i="8"/>
  <c r="Q76" i="8"/>
  <c r="Q77" i="8"/>
  <c r="U77" i="8" s="1"/>
  <c r="U75" i="8"/>
  <c r="V86" i="8" l="1"/>
  <c r="G61" i="13"/>
  <c r="D67" i="13"/>
  <c r="G67" i="13" s="1"/>
  <c r="U76" i="8"/>
  <c r="D68" i="13" l="1"/>
  <c r="D69" i="13" s="1"/>
  <c r="H69" i="13" s="1"/>
  <c r="H67" i="13"/>
  <c r="G68" i="13" l="1"/>
  <c r="H68" i="13"/>
  <c r="G69" i="13"/>
  <c r="S78" i="8"/>
  <c r="L78" i="8" l="1"/>
  <c r="Q78" i="8"/>
  <c r="U78" i="8" l="1"/>
  <c r="X119" i="8" l="1"/>
  <c r="V119" i="8" l="1"/>
  <c r="U86" i="8"/>
  <c r="U119" i="8" s="1"/>
  <c r="G121" i="8" l="1"/>
  <c r="G122" i="8"/>
  <c r="V121" i="8" l="1"/>
  <c r="U121" i="8"/>
  <c r="V122" i="8"/>
  <c r="AB122" i="8" s="1"/>
  <c r="AB123" i="8" s="1"/>
  <c r="AB124" i="8" s="1"/>
  <c r="U122" i="8"/>
  <c r="U123" i="8" l="1"/>
  <c r="U124" i="8" s="1"/>
  <c r="AA121" i="8"/>
  <c r="AA123" i="8" s="1"/>
  <c r="V123" i="8"/>
  <c r="V124" i="8" s="1"/>
  <c r="AA124" i="8" l="1"/>
  <c r="X123" i="8"/>
  <c r="V125" i="8"/>
  <c r="V126" i="8" s="1"/>
  <c r="G125" i="8"/>
  <c r="U125" i="8" s="1"/>
  <c r="U126" i="8" s="1"/>
  <c r="X124" i="8" l="1"/>
  <c r="Z129" i="8"/>
  <c r="Z133" i="8" s="1"/>
  <c r="H73" i="17" l="1"/>
  <c r="G73" i="17"/>
  <c r="R56" i="24" l="1"/>
  <c r="S56" i="24" l="1"/>
  <c r="R50" i="24"/>
  <c r="R49" i="24" s="1"/>
  <c r="R116" i="24" s="1"/>
  <c r="V56" i="24" l="1"/>
  <c r="O119" i="24" l="1"/>
  <c r="O123" i="24" l="1"/>
  <c r="M60" i="24" l="1"/>
  <c r="Q60" i="24" s="1"/>
  <c r="L119" i="24" l="1"/>
  <c r="R60" i="24"/>
  <c r="S60" i="24" s="1"/>
  <c r="Q121" i="24" l="1"/>
  <c r="Q120" i="24"/>
  <c r="S120" i="24" s="1"/>
  <c r="V120" i="24" s="1"/>
  <c r="Q119" i="24"/>
  <c r="L123" i="24"/>
  <c r="V60" i="24"/>
  <c r="V61" i="24" s="1"/>
  <c r="S50" i="24"/>
  <c r="R119" i="24" l="1"/>
  <c r="S119" i="24" s="1"/>
  <c r="R121" i="24"/>
  <c r="S121" i="24" s="1"/>
  <c r="Q122" i="24"/>
  <c r="Q123" i="24" s="1"/>
  <c r="Q124" i="24" s="1"/>
  <c r="T50" i="24"/>
  <c r="S49" i="24"/>
  <c r="S116" i="24" s="1"/>
  <c r="V121" i="24" l="1"/>
  <c r="D32" i="20"/>
  <c r="D32" i="32"/>
  <c r="V119" i="24"/>
  <c r="D30" i="32"/>
  <c r="D30" i="20"/>
  <c r="R122" i="24"/>
  <c r="R123" i="24" s="1"/>
  <c r="S122" i="24"/>
  <c r="V122" i="24" s="1"/>
  <c r="S118" i="24" l="1"/>
  <c r="S123" i="24"/>
  <c r="V118" i="24"/>
  <c r="V123" i="24" s="1"/>
  <c r="V163" i="24" s="1"/>
  <c r="T118" i="24"/>
  <c r="T124" i="24" s="1"/>
  <c r="S124" i="24"/>
  <c r="D29" i="20"/>
  <c r="D33" i="20" s="1"/>
  <c r="D29" i="32"/>
  <c r="D33" i="32" s="1"/>
  <c r="AC120" i="24" l="1"/>
  <c r="D38" i="20"/>
  <c r="G33" i="20"/>
  <c r="G33" i="32"/>
  <c r="D38" i="32"/>
  <c r="S164" i="24"/>
  <c r="G166" i="24" s="1"/>
  <c r="S166" i="24" s="1"/>
  <c r="S134" i="24"/>
  <c r="V165" i="24"/>
  <c r="U165" i="24" s="1"/>
  <c r="U163" i="24"/>
  <c r="V166" i="24" l="1"/>
  <c r="U166" i="24" s="1"/>
  <c r="D66" i="32"/>
  <c r="D71" i="32" s="1"/>
  <c r="D72" i="32" s="1"/>
  <c r="D73" i="32" s="1"/>
  <c r="D74" i="32" s="1"/>
  <c r="G38" i="32"/>
  <c r="D66" i="20"/>
  <c r="G38" i="20"/>
  <c r="D68" i="20"/>
  <c r="G167" i="24"/>
  <c r="S167" i="24" s="1"/>
  <c r="H74" i="32" l="1"/>
  <c r="G74" i="32"/>
  <c r="D69" i="20"/>
  <c r="H69" i="20" s="1"/>
  <c r="S168" i="24"/>
  <c r="S165" i="24" s="1"/>
  <c r="S169" i="24" s="1"/>
  <c r="H68" i="20"/>
  <c r="D70" i="20"/>
  <c r="D71" i="20" s="1"/>
  <c r="D72" i="20" s="1"/>
  <c r="D73" i="20" s="1"/>
  <c r="D74" i="20" s="1"/>
  <c r="D67" i="20" l="1"/>
  <c r="S170" i="24"/>
  <c r="S171" i="24" s="1"/>
  <c r="G170" i="24"/>
  <c r="G74" i="20"/>
  <c r="H74" i="20"/>
  <c r="V168" i="24"/>
  <c r="W173" i="24" s="1"/>
  <c r="V169" i="24" l="1"/>
  <c r="U169" i="24" s="1"/>
  <c r="U168" i="24"/>
  <c r="F9" i="31" l="1"/>
  <c r="W180" i="24"/>
  <c r="F23" i="31" l="1"/>
  <c r="F24" i="3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Ajuntament de Barcelona</author>
  </authors>
  <commentList>
    <comment ref="M30" authorId="0" shapeId="0" xr:uid="{00000000-0006-0000-0700-000001000000}">
      <text>
        <r>
          <rPr>
            <b/>
            <sz val="9"/>
            <color indexed="81"/>
            <rFont val="Tahoma"/>
            <family val="2"/>
          </rPr>
          <t>Ajuntament de Barcelona:</t>
        </r>
        <r>
          <rPr>
            <sz val="9"/>
            <color indexed="81"/>
            <rFont val="Tahoma"/>
            <family val="2"/>
          </rPr>
          <t xml:space="preserve">
44235,96
</t>
        </r>
      </text>
    </comment>
    <comment ref="M59" authorId="0" shapeId="0" xr:uid="{00000000-0006-0000-0700-000002000000}">
      <text>
        <r>
          <rPr>
            <b/>
            <sz val="9"/>
            <color indexed="81"/>
            <rFont val="Tahoma"/>
            <family val="2"/>
          </rPr>
          <t xml:space="preserve">1 treballador 27431,16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Ajuntament de Barcelona</author>
  </authors>
  <commentList>
    <comment ref="M26" authorId="0" shapeId="0" xr:uid="{00000000-0006-0000-0A00-000001000000}">
      <text>
        <r>
          <rPr>
            <b/>
            <sz val="9"/>
            <color indexed="81"/>
            <rFont val="Tahoma"/>
            <family val="2"/>
          </rPr>
          <t>Ajuntament de Barcelona:</t>
        </r>
        <r>
          <rPr>
            <sz val="9"/>
            <color indexed="81"/>
            <rFont val="Tahoma"/>
            <family val="2"/>
          </rPr>
          <t xml:space="preserve">
44235,96
</t>
        </r>
      </text>
    </comment>
    <comment ref="M55" authorId="0" shapeId="0" xr:uid="{00000000-0006-0000-0A00-000002000000}">
      <text>
        <r>
          <rPr>
            <b/>
            <sz val="9"/>
            <color indexed="81"/>
            <rFont val="Tahoma"/>
            <family val="2"/>
          </rPr>
          <t xml:space="preserve">1 treballador 27431,16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Ajuntament de Barcelona</author>
  </authors>
  <commentList>
    <comment ref="P34" authorId="0" shapeId="0" xr:uid="{00000000-0006-0000-0D00-000001000000}">
      <text>
        <r>
          <rPr>
            <b/>
            <sz val="9"/>
            <color indexed="81"/>
            <rFont val="Tahoma"/>
            <family val="2"/>
          </rPr>
          <t>Ajuntament de Barcelona:</t>
        </r>
        <r>
          <rPr>
            <sz val="9"/>
            <color indexed="81"/>
            <rFont val="Tahoma"/>
            <family val="2"/>
          </rPr>
          <t xml:space="preserve">
31 treballadors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Ajuntament de Barcelona</author>
  </authors>
  <commentList>
    <comment ref="M26" authorId="0" shapeId="0" xr:uid="{00000000-0006-0000-1800-000001000000}">
      <text>
        <r>
          <rPr>
            <b/>
            <sz val="9"/>
            <color indexed="81"/>
            <rFont val="Tahoma"/>
            <family val="2"/>
          </rPr>
          <t>Ajuntament de Barcelona:</t>
        </r>
        <r>
          <rPr>
            <sz val="9"/>
            <color indexed="81"/>
            <rFont val="Tahoma"/>
            <family val="2"/>
          </rPr>
          <t xml:space="preserve">
44235,96
</t>
        </r>
      </text>
    </comment>
    <comment ref="M55" authorId="0" shapeId="0" xr:uid="{00000000-0006-0000-1800-000002000000}">
      <text>
        <r>
          <rPr>
            <b/>
            <sz val="9"/>
            <color indexed="81"/>
            <rFont val="Tahoma"/>
            <family val="2"/>
          </rPr>
          <t xml:space="preserve">1 treballador 27431,16
</t>
        </r>
        <r>
          <rPr>
            <sz val="9"/>
            <color indexed="81"/>
            <rFont val="Tahoma"/>
            <family val="2"/>
          </rPr>
          <t xml:space="preserve">
</t>
        </r>
      </text>
    </comment>
  </commentList>
</comments>
</file>

<file path=xl/sharedStrings.xml><?xml version="1.0" encoding="utf-8"?>
<sst xmlns="http://schemas.openxmlformats.org/spreadsheetml/2006/main" count="1989" uniqueCount="711">
  <si>
    <t>JUSTIFICACIÓ DEL PRESSUPOST DEL CONTRACTE, annex a l'informe justificatiu de la despesa</t>
  </si>
  <si>
    <t>PRESSUPOST ANUAL DETALLAT PER PARTIDES I DISTRIBUCIÓ DE LA DESPESA</t>
  </si>
  <si>
    <t>=365-104-14-22=225 dies laborables de feina</t>
  </si>
  <si>
    <t xml:space="preserve">Hores/any d'empleat amb jornada de 7,56 h/dia de mitjana es a dir 37,8 h/set. </t>
  </si>
  <si>
    <t>dies any-cap de setmana-festius-dies lab. vacances</t>
  </si>
  <si>
    <t>Provisió absentisme (d'acord amb el darrer informe)</t>
  </si>
  <si>
    <t>Formació en riscos laborals: Aprox. Entre el 2% i el 3%</t>
  </si>
  <si>
    <t>Dades de 2021 risc III</t>
  </si>
  <si>
    <t>Provisió augment 2026-2027 (per cada any)</t>
  </si>
  <si>
    <t>PROVISIONS</t>
  </si>
  <si>
    <t>CONCEPTES</t>
  </si>
  <si>
    <t>Suplència</t>
  </si>
  <si>
    <t>Hores/dia</t>
  </si>
  <si>
    <t>Hores/ setmana</t>
  </si>
  <si>
    <t>SOUS CONVENI</t>
  </si>
  <si>
    <t>COSTOS SOCIALS</t>
  </si>
  <si>
    <t>si</t>
  </si>
  <si>
    <t xml:space="preserve">Provisió per absentisme </t>
  </si>
  <si>
    <t>Provisió per formació i riscos laborals</t>
  </si>
  <si>
    <t>ALTRES DESPESES DE FUNCIONAMENT</t>
  </si>
  <si>
    <t>Marge empresarial (benefici)</t>
  </si>
  <si>
    <t>TOTAL COSTOS INDIRECTES</t>
  </si>
  <si>
    <t>TOTAL PRESSUPOST</t>
  </si>
  <si>
    <t>PRESSUPOST PROPOSAT</t>
  </si>
  <si>
    <t>SUPOSIT CICLE GENERAL I DIES FEINERS</t>
  </si>
  <si>
    <t>COSTOS SOCIALS: SEGURETAT SOCIAL</t>
  </si>
  <si>
    <t>Dades Segurentat Social 2024</t>
  </si>
  <si>
    <t>Percentatge
 previst</t>
  </si>
  <si>
    <t>NECESSITATS total 
hores/any</t>
  </si>
  <si>
    <t>Empleats 
necessaris</t>
  </si>
  <si>
    <t>Sous subrogació</t>
  </si>
  <si>
    <t>Costos socials
(sobre subrogació)</t>
  </si>
  <si>
    <t>TOTALS
 (SOUS  SUBROGACIO)</t>
  </si>
  <si>
    <t>COST 
 SOUS  (CONVENI)</t>
  </si>
  <si>
    <t xml:space="preserve">TOTALS </t>
  </si>
  <si>
    <t>COST TOTALS</t>
  </si>
  <si>
    <t>COSTOS
PERSONAL</t>
  </si>
  <si>
    <t>COSTOS
ESTRUCTURA</t>
  </si>
  <si>
    <t xml:space="preserve">DESPESES
GESTIÓ </t>
  </si>
  <si>
    <t>BENEFICI INDUSTRIAL</t>
  </si>
  <si>
    <t>PREU UNITARI</t>
  </si>
  <si>
    <t>Personal Directe</t>
  </si>
  <si>
    <t>SOUS</t>
  </si>
  <si>
    <t>Disponibilitat</t>
  </si>
  <si>
    <t>TOTALS PERSONALS DIRECTES</t>
  </si>
  <si>
    <t xml:space="preserve">Provisió personal directe </t>
  </si>
  <si>
    <t>PROVISIÓ PERSONAL</t>
  </si>
  <si>
    <t>TOTAL PROVISIONS PERSONAL DIRECTE</t>
  </si>
  <si>
    <t>Serveis Complementaris</t>
  </si>
  <si>
    <t>PREU HORA</t>
  </si>
  <si>
    <t>SERVEIS COMPLEMENT</t>
  </si>
  <si>
    <t>TOTAL PROVISIÓ BORSA D'HORES SERVEIS COMPLEMENTARIS</t>
  </si>
  <si>
    <t>TOTAL DESPESES DE PERSONAL</t>
  </si>
  <si>
    <t>COSTOS D'ESTRUCTURA</t>
  </si>
  <si>
    <t xml:space="preserve"> ESTRUCTURA</t>
  </si>
  <si>
    <t>Mòvils</t>
  </si>
  <si>
    <t>Material informàtic i d'oficina</t>
  </si>
  <si>
    <t>TOTAL COSTOS ESTRUCTURA</t>
  </si>
  <si>
    <t xml:space="preserve">FUNCIONAMENT </t>
  </si>
  <si>
    <t>ESTRUCTURA I FUNCIONAMENT</t>
  </si>
  <si>
    <t>TOTALS COSTES DIRECTES</t>
  </si>
  <si>
    <t>COSTOS INDIRECTES DE GESTIÓ</t>
  </si>
  <si>
    <t xml:space="preserve">Despeses generals per a la gestió
Supervisió tècnica empresa matriu, assegurances, assessoraments laborals i fiscals, auditories, 
gestió administrativa matriu, finançament, publicació anuncis DOG, ... </t>
  </si>
  <si>
    <t>IVA</t>
  </si>
  <si>
    <t>PREU GLOBAL</t>
  </si>
  <si>
    <t>SIMULACIÓ DE COST DE GESTIÓ DEL SERVEI D'ATENCIÓ SOCIAL AL SENSELLERISME A L'ESPAI PÚBLIC (SASSEP) amb mesures de contractació pública sostenible</t>
  </si>
  <si>
    <t>DIRECCIÓ (GRUP I)</t>
  </si>
  <si>
    <t>COORDINADOR DE SERVEIS (GRUP I)</t>
  </si>
  <si>
    <t>Traducció</t>
  </si>
  <si>
    <t>Servei de traducció-interpretació oral, via telefònica o telemàtica, per facilitar la comunicació entre els centres educatius que acullen alumnat nouvingut amb l'objectiu de facilitar-ne l'escolarització i l'acollida, per als mesos de setembre a desembre del curs 2023-2024.</t>
  </si>
  <si>
    <t>Òrgan de contractació:</t>
  </si>
  <si>
    <t>Departament d'Educació</t>
  </si>
  <si>
    <t>Codi de l'expedient:</t>
  </si>
  <si>
    <t>ED-2023-1349</t>
  </si>
  <si>
    <t>Data de publicació:  8/9/2023</t>
  </si>
  <si>
    <t>Interpretació</t>
  </si>
  <si>
    <t>Quadre de característiques de la contractació del servei d’interpretació i traducció per SUMAR,</t>
  </si>
  <si>
    <t>Serveis Públics d’Acció Social de Catalunya, S.L., mitjançant procediment obert simplificat amb</t>
  </si>
  <si>
    <t>diversos criteris d’adjudicació</t>
  </si>
  <si>
    <t>45€/hora</t>
  </si>
  <si>
    <t>Plec de clàusules administratives particulars que regiran la contractació del servei</t>
  </si>
  <si>
    <t>d’interpretació i traducció pels centres gestionats per SUMAR, Serveis Públics d’Acció Social de</t>
  </si>
  <si>
    <t>Catalunya, S.L., mitjançant procediment obert simplificat amb diversos criteris d’adjudicació.</t>
  </si>
  <si>
    <t>Codi de l'expedient:207/2021</t>
  </si>
  <si>
    <t>79530000-8-Serveis de traducció</t>
  </si>
  <si>
    <t>Oferta</t>
  </si>
  <si>
    <t>35€/hora</t>
  </si>
  <si>
    <t>Interpretacions orals presencials o</t>
  </si>
  <si>
    <t xml:space="preserve">per videoconferència. </t>
  </si>
  <si>
    <t>any 2021</t>
  </si>
  <si>
    <t>207/2021 2</t>
  </si>
  <si>
    <t>Servei Preu ofert</t>
  </si>
  <si>
    <t>Interpretacions orals telefòniques 1,2€/minut</t>
  </si>
  <si>
    <t>Traducció escrita 0,07€/paraul</t>
  </si>
  <si>
    <t>Interpretacions orals presencials o per videoconferència</t>
  </si>
  <si>
    <t>1,2 minut</t>
  </si>
  <si>
    <t>0,07 per paraula</t>
  </si>
  <si>
    <t>Codi CPV:</t>
  </si>
  <si>
    <t>79530000-8 Serveis de traducció</t>
  </si>
  <si>
    <t>79540000-1 Serveis d’Interpretació</t>
  </si>
  <si>
    <t>MEMÒRIA JUSTIFICATIVA RELATIVA A LA CONTRACTACIÓ DELS SERVEIS</t>
  </si>
  <si>
    <t>D’INTERPRETACIÓ I DE TRADUCCIÓ DE LLENGÜES A LES UNITATS CENTRALS</t>
  </si>
  <si>
    <t>I TERRITORIALS DE LA DIRECCIÓ GENERAL DE LA POLICIA, DISTRIBUÏTS EN 3</t>
  </si>
  <si>
    <t>LOTS, PER A L’ANY 2022.</t>
  </si>
  <si>
    <t>-Pel que fa als preus unitaris corresponents al preu hora mitjançant videoconferència i</t>
  </si>
  <si>
    <t>preu minut mitjançant teletraducció, al ser dos conceptes nous introduïts en aquest</t>
  </si>
  <si>
    <t>servei i no tenir antecedents de preus, s’ha demanat pressupost a l’empresa</t>
  </si>
  <si>
    <t>adjudicatària actual del servei. Els preus de videoconferència i teletraducció inclouen la</t>
  </si>
  <si>
    <t>formació específica dels intèrprets així com els mitjans telemàtics i les despeses de la</t>
  </si>
  <si>
    <t>connectivitat necessaris per a la realització d’aquest servei. Els preus fixats són de</t>
  </si>
  <si>
    <t>40,00€ (IVA exclòs) per al preu hora de videoconferència i de 2,50€ (IVA exclòs) per</t>
  </si>
  <si>
    <t>minut de teletraducció amb un preu màxim per hora del servei de teletraducció de</t>
  </si>
  <si>
    <t>60,00€ (IVA exclòs). Aquests preus són iguals per a totes les regions policials atès que</t>
  </si>
  <si>
    <t>no es veuen afectats pels desplaçaments ni pels recursos disponibles que pugui tenir</t>
  </si>
  <si>
    <t>l’empresa adjudicatària en una regió policial o una altra.</t>
  </si>
  <si>
    <t>Així doncs, els preus unitaris màxims de licitació (IVA exclòs), per a cada concepte,</t>
  </si>
  <si>
    <t>per als serveis d’interpretació i de traducció de llengües a les Unitats Centrals i</t>
  </si>
  <si>
    <t>Territorials de la Direcció General de la Policia per a l’any 2022, són els següents:</t>
  </si>
  <si>
    <t>Mitjana de les 11 ofertes: 38</t>
  </si>
  <si>
    <t>Media</t>
  </si>
  <si>
    <t>0,12€/palabra</t>
  </si>
  <si>
    <t>no</t>
  </si>
  <si>
    <t>EQUIPS D'INTERVENCIÓ SOCIAL</t>
  </si>
  <si>
    <t>EQUIP D'AEROPORT I INTERCANVIADORS</t>
  </si>
  <si>
    <t>OFICINA TÈCNICA</t>
  </si>
  <si>
    <t>EQUIP DE SUPORT PER AL RECOMPTE</t>
  </si>
  <si>
    <t>SUPORT JURÍDIC</t>
  </si>
  <si>
    <t>SUPORT PSICOLÒGIC</t>
  </si>
  <si>
    <t>EQUIP DE SUPORT A LA GESTIÓ</t>
  </si>
  <si>
    <t>SUPORT EDUCATIU</t>
  </si>
  <si>
    <t>CONDUCTOR/A UNITAT MOBIL</t>
  </si>
  <si>
    <t>III Convenio colectivo de la Asociación para la Gestión de la Integración Social.</t>
  </si>
  <si>
    <t>SERVEI INTERPRETACIÓ</t>
  </si>
  <si>
    <t>SERVEI DE TRADUCCIÓ</t>
  </si>
  <si>
    <t>Vehicle furgoneta color blanc 5 places</t>
  </si>
  <si>
    <t>Vehicle tipus turisme color blanc 5 places 5 portes</t>
  </si>
  <si>
    <t>Borsa llenguatge de signes</t>
  </si>
  <si>
    <t>Linia mobils</t>
  </si>
  <si>
    <t>Bota seguretat</t>
  </si>
  <si>
    <t>https://jhayberworks.com/es/catalogo/calzado/seguridad/</t>
  </si>
  <si>
    <t>ttps://globalproteccion.es/pt/tienda/143/zapatos-de-seguridad</t>
  </si>
  <si>
    <t>https://www.modyf.es/calzado-de-seguridad</t>
  </si>
  <si>
    <t>Motxilla</t>
  </si>
  <si>
    <t>motxilles</t>
  </si>
  <si>
    <t>https://www.barovari.com/motxilles</t>
  </si>
  <si>
    <t>https://www.abacus.coop/ca/papereria-i-manualitats/motxilles-i-estoigs/motxilles-escolars</t>
  </si>
  <si>
    <t>https://mas-mochilas.com/collections/mochilas-hombre-urbanas</t>
  </si>
  <si>
    <t>Pantalons</t>
  </si>
  <si>
    <t>https://www.prolaboral.com/es/pantalones-de-trabajo/</t>
  </si>
  <si>
    <t>https://www.soloepis.com/808-pantalones</t>
  </si>
  <si>
    <t>https://www.ropadetrabajo.com/391-pantalones-de-trabajo</t>
  </si>
  <si>
    <t>Guants</t>
  </si>
  <si>
    <t>https://www.epis.cat/categoria-producte/proteccio-cos-i-mans/</t>
  </si>
  <si>
    <t>https://www.fishersci.es/es/es/catalog/search/products?gclid=EAIaIQobChMIj-SEtYqhhgMVDLxoCR2m_QdQEAAYAiAAEgJm7PD_BwE&amp;storeId=10652&amp;keyword=guantes+de+latex&amp;nav=13685&amp;refineCatId=11291&amp;Ne=&amp;searchType=PROD&amp;SWKeyList=[]&amp;typeAheadCat=?ppc_id=NonBrand_goog_1463417028_57916882758_guantes%20de%20seguridad%20anticorte_p_279613028804_14910206211093810315&amp;s_kwcid=AL!4428!3!279613028804!p!!g!!guantes%20de%20seguridad%20anticorte&amp;ef_id=EAIaIQobChMIj-SEtYqhhgMVDLxoCR2m_QdQEAAYAiAAEgJm7PD_BwE:G:s&amp;s_kwcid=AL!4428!3!279613028804!p!!g!!guantes%20de%20seguridad%20anticorte&amp;gad_source=1</t>
  </si>
  <si>
    <t>(12 pares)</t>
  </si>
  <si>
    <t>https://safeguru.com/category/guantes-de-trabajo</t>
  </si>
  <si>
    <t>)</t>
  </si>
  <si>
    <t>Parquing</t>
  </si>
  <si>
    <t>Material de protecció pels vehicles</t>
  </si>
  <si>
    <t>351€/mes*</t>
  </si>
  <si>
    <t>https://www.nissan.es/empresas/ofertas/townstar-van.html</t>
  </si>
  <si>
    <t>TODO INCLUIDO CON NISSAN RENTING</t>
  </si>
  <si>
    <t>TOWNSTAR FURGÓN PROFESIONAL</t>
  </si>
  <si>
    <t>Furgoneta 5 Plz</t>
  </si>
  <si>
    <t>455€/mes*</t>
  </si>
  <si>
    <t>https://www.leaseplango.es/ofertas/furgoneta-5-plz-empresas/10000004/flexible/</t>
  </si>
  <si>
    <t>20.000 kms/año con contrato de 12 mese</t>
  </si>
  <si>
    <t>465,85 €/mes</t>
  </si>
  <si>
    <t>https://www.justrenting.es/furgoneta-pequena-combi-5-plazas</t>
  </si>
  <si>
    <t xml:space="preserve">25000 km/año </t>
  </si>
  <si>
    <t>Peugeot Rifter Active Business Standard Empresa</t>
  </si>
  <si>
    <t>https://rentiner.com/renting-coches/rifter/17720</t>
  </si>
  <si>
    <t>RENAULT Express Advance 1.5 Blue Dci 95CV</t>
  </si>
  <si>
    <t>367€/mes</t>
  </si>
  <si>
    <t>https://smilerenteuropa.com/renting-furgonetas-ofertas/</t>
  </si>
  <si>
    <t>PROMITG</t>
  </si>
  <si>
    <t>https://www.nissan.es/empresas/ofertas/juke.html</t>
  </si>
  <si>
    <t>384€/mes</t>
  </si>
  <si>
    <t>551€/mes</t>
  </si>
  <si>
    <t>https://www.europcar.es/es-es/p/business/servicios-de-flota/soluciones-largo-plazo/superflex#32z3baYK4JrxieeaOEGXso</t>
  </si>
  <si>
    <t>529,98 mes</t>
  </si>
  <si>
    <t>https://www.leaseplango.es/ofertas/renting-ecologicos/</t>
  </si>
  <si>
    <t>423,50€/mes</t>
  </si>
  <si>
    <t>592€/mes</t>
  </si>
  <si>
    <t>HYUNDAI KONA 1.6 GDI HEV Klass DT</t>
  </si>
  <si>
    <t>https://secondrenting.com/alquiler-coches-largo-plazo/?_combustible=coches-electricos</t>
  </si>
  <si>
    <t>TOYOTA C-HR 1.8 125H Active</t>
  </si>
  <si>
    <t>https://secondrenting.com/product/?id=8861LGX</t>
  </si>
  <si>
    <t>Promig cotxe hibrido</t>
  </si>
  <si>
    <t>Exterior e interior integral plus Pelos de mascota</t>
  </si>
  <si>
    <t> y suciedad extrema</t>
  </si>
  <si>
    <t>Desinfecció</t>
  </si>
  <si>
    <t>https://autolavadoentenza.com/producto/desinfeccion-y-eliminacion-de-olores/</t>
  </si>
  <si>
    <r>
      <t xml:space="preserve">Desodorización y desinfección por ozono </t>
    </r>
    <r>
      <rPr>
        <b/>
        <sz val="11"/>
        <color theme="1"/>
        <rFont val="Calibri"/>
        <family val="2"/>
        <scheme val="minor"/>
      </rPr>
      <t>20€</t>
    </r>
  </si>
  <si>
    <t>Lavado en profundidad de asientos</t>
  </si>
  <si>
    <t>http://rentatautobarcelona.es/lavados/</t>
  </si>
  <si>
    <t>https://www.midas.es/cita-previa/aircare-desinfeccion-del-interior-de-tu-coche?cmpid=sea!</t>
  </si>
  <si>
    <r>
      <t>desaparición automática de cualquier virus, hongo o bacteria presente dentro del coche</t>
    </r>
    <r>
      <rPr>
        <sz val="11"/>
        <color theme="1"/>
        <rFont val="Calibri"/>
        <family val="2"/>
        <scheme val="minor"/>
      </rPr>
      <t>.</t>
    </r>
  </si>
  <si>
    <t>https://autolimpio46.com/lista-de-precios/</t>
  </si>
  <si>
    <t>https://grilloecocarwash.com/ofertas-limpiezas-de-vehiculos/</t>
  </si>
  <si>
    <t xml:space="preserve">Total  Pack Extremo </t>
  </si>
  <si>
    <t>https://grilloecocarwash.com/limpieza-industriales-tratamiento-ozono/</t>
  </si>
  <si>
    <t>https://grilloecocarwash.com/tarifa-limpieza-tapiceria-industrial/</t>
  </si>
  <si>
    <t>arifa Empresa Limpieza Tapicería + desinfecció</t>
  </si>
  <si>
    <t>Neteja del vehicle integral (1 cada 2 mesos)</t>
  </si>
  <si>
    <t>(2 diaris)</t>
  </si>
  <si>
    <t>(10 caixes)</t>
  </si>
  <si>
    <t>BOTIQUIN EMERGENCIA 1º AUXILIOS NORMATIVA DIN 13164 ENVASE BOLSA</t>
  </si>
  <si>
    <t>https://repuestosillescas.com/producto/botiquin-de-primeros-auxilios-para-el-automovil/</t>
  </si>
  <si>
    <t>https://naisa.es/botiquines-primeros-auxilios/3699-botiquin-para-automovil.html</t>
  </si>
  <si>
    <t>Contenido conforme a la normativa DIN 13164</t>
  </si>
  <si>
    <t>Botiquín para automóvil BOTIQUÍN COCHE ST23015</t>
  </si>
  <si>
    <t>Botiquín-maleta de mano</t>
  </si>
  <si>
    <t>https://www.totmedical.com/botiquines/875-botiquin-mochila-profesional-emergencia-con-contenido.html</t>
  </si>
  <si>
    <t>Manta ignífuga 150 x 180 cm</t>
  </si>
  <si>
    <t>Manta de emergencia 160 x 210 cm</t>
  </si>
  <si>
    <t>Adhesivo tópico Mini Dermabond alta viscosidad 0,36ml. Caja de 12 unidades</t>
  </si>
  <si>
    <t>Cubrezapatos simples 30 gr.</t>
  </si>
  <si>
    <t>100 unitats</t>
  </si>
  <si>
    <t>https://www.dhmaterialmedico.com/cubrezapatos-simples-30-gr</t>
  </si>
  <si>
    <t>Gel desifentante</t>
  </si>
  <si>
    <t>https://www.promofarma.com/es/vb/gel-hidroalcoholico-en-spray</t>
  </si>
  <si>
    <t>bolsas vómitos</t>
  </si>
  <si>
    <t>https://www.fruugo.es/50-piezas-bolsas-de-vomito-bolsas-blancas-para-el-movimiento-nauseas-matutinas-y-resacas-viaje-desechable-p/p-164617675-350434090?language=es&amp;ac=ProductCasterAPI&amp;utm</t>
  </si>
  <si>
    <t>2 vehiculos</t>
  </si>
  <si>
    <t>llinterna</t>
  </si>
  <si>
    <t>Despeses vehicles (neteja vehicles externa)</t>
  </si>
  <si>
    <t>Enrutador CISCO ASA 5510 per treballar amb els aplicatius</t>
  </si>
  <si>
    <t>Auditoria</t>
  </si>
  <si>
    <t>Cisco - ASA5510-SSL100-K9 - ASA 5510 VPN Edition w/ 100 SSL User License, 3DES/AES</t>
  </si>
  <si>
    <t>Antivirus</t>
  </si>
  <si>
    <t>PREU UNITARI INTERPRETACIÓ</t>
  </si>
  <si>
    <t>PREU UNITARI TRADUCCIÓ</t>
  </si>
  <si>
    <t>PREU UNITARI LLEGUATGE SIGNES</t>
  </si>
  <si>
    <t>Combustible</t>
  </si>
  <si>
    <t>https://www.bbva.es/general/calculadora-gasto-gasolina/gasto-ano.html</t>
  </si>
  <si>
    <t>8 respostajes</t>
  </si>
  <si>
    <t>VEHICLES</t>
  </si>
  <si>
    <t>UNITATS</t>
  </si>
  <si>
    <t>MESOS</t>
  </si>
  <si>
    <t>FURG/TURISME</t>
  </si>
  <si>
    <t>LITROS</t>
  </si>
  <si>
    <t>% Disponibilitat</t>
  </si>
  <si>
    <t xml:space="preserve">COST SOU +COST SO 
A CÀRREC DE L' EMPRESA 
</t>
  </si>
  <si>
    <t>€</t>
  </si>
  <si>
    <t>Sabates de seguretat</t>
  </si>
  <si>
    <t>TOTAL PREU ANUAL DEL CONTRACTE (IVA INCLÓS)</t>
  </si>
  <si>
    <t>TOTAL</t>
  </si>
  <si>
    <t>TOTAL COSTOS ANUALS DEL CONTRACTE (IVA EXCLOS)</t>
  </si>
  <si>
    <t>CD+CI</t>
  </si>
  <si>
    <t>1+2+3</t>
  </si>
  <si>
    <t>DIFERENCIAL (%)</t>
  </si>
  <si>
    <t>DIFERENCIAL (€)</t>
  </si>
  <si>
    <t>CONTRACTE VIGENT</t>
  </si>
  <si>
    <t>NOU CONTRACTE</t>
  </si>
  <si>
    <t>TOTAL COSTOS GENERALS DE GESTIÓ</t>
  </si>
  <si>
    <t>CI</t>
  </si>
  <si>
    <t>TOTAL COSTOS DE PERSONAL + FUNCIONAMENT</t>
  </si>
  <si>
    <t>CD</t>
  </si>
  <si>
    <t>1+2</t>
  </si>
  <si>
    <t>EXPLICAR!!!</t>
  </si>
  <si>
    <t>Altres despeses</t>
  </si>
  <si>
    <t>OBSERVACIONS</t>
  </si>
  <si>
    <t>COSTOS DE FUNCIONAMENT</t>
  </si>
  <si>
    <t>COSTOS DE PERSONAL</t>
  </si>
  <si>
    <t>Direcció del servei</t>
  </si>
  <si>
    <t>Serveis operatius</t>
  </si>
  <si>
    <t>Tècnics/ques mitjans per equip d'intervenció social a l'espai urbà</t>
  </si>
  <si>
    <t>Tècnics/ques mitjans per equip d'intervenció social a l'espai urbà (amb suplències)</t>
  </si>
  <si>
    <t>Tècnics/ques mitjans per a els equips d'intervenció social específic per l'Aeroport i intercanviadors</t>
  </si>
  <si>
    <t>Tècnics/ques mitjans per a els equips d'intervenció social específic per l'Aeroport i intercanviadors (amb suplències)</t>
  </si>
  <si>
    <t>Oficina tècnica</t>
  </si>
  <si>
    <t>Tècnics/ques mitjans per anàlisi de dades (supòsit en funció de subrogació)</t>
  </si>
  <si>
    <t>Equip de suport per a recompte i informes de diagnosi ( 2 tècnics mitjos durant 4 meses efectivament per tant contractats per 4,33 meses)</t>
  </si>
  <si>
    <t>Equip de suport al servei</t>
  </si>
  <si>
    <t>Tècnics/ques superiors per suport jurídic</t>
  </si>
  <si>
    <t>Tècnics/ques superiors per suport psicològic</t>
  </si>
  <si>
    <t>Personal qualificat per suport educatiu</t>
  </si>
  <si>
    <t>Personal qualificat per a recepció i gestió administrativa</t>
  </si>
  <si>
    <t>Personal qualificat per a servei de conductor</t>
  </si>
  <si>
    <t>CTE: SIMULACIÓ DE COST DE GESTIÓ DEL SERVEI D'ATENCIÓ SOCIAL AL SENSELLERISME A L'ESPAI PÚBLIC (SASSEP) amb mesures de contractació pública sostenible</t>
  </si>
  <si>
    <t xml:space="preserve">Nocturnitat 25% </t>
  </si>
  <si>
    <t>Nocturnitat (25% del 40% hores previstes en horari nocturn)</t>
  </si>
  <si>
    <t>Disponibilitat 20%</t>
  </si>
  <si>
    <t>ABSENTISME</t>
  </si>
  <si>
    <t>PROVISIÓ D'AUGMENTS</t>
  </si>
  <si>
    <t>PROVISIÓ PER FORMACIÓ I RISCOS LABORALS</t>
  </si>
  <si>
    <t>PLUSES PER DIAGNÒTIC</t>
  </si>
  <si>
    <t>3092+</t>
  </si>
  <si>
    <t xml:space="preserve">FORMACIÓ </t>
  </si>
  <si>
    <t>PROJECTES SOCIALS O ACCIONS SINGULARS</t>
  </si>
  <si>
    <t>Inici</t>
  </si>
  <si>
    <t>Nocturnitat (25% del 25% hores previstes en horari nocturn)</t>
  </si>
  <si>
    <t>Disponibilitat (10% Cost hora)</t>
  </si>
  <si>
    <t>Director (Grup I)</t>
  </si>
  <si>
    <t>Suport tècnic a la Direcció (Grup II)</t>
  </si>
  <si>
    <t xml:space="preserve">Valoració i diagnòstic </t>
  </si>
  <si>
    <t>EQUIP OPERATIU</t>
  </si>
  <si>
    <t xml:space="preserve">Coordinador </t>
  </si>
  <si>
    <t>PREU</t>
  </si>
  <si>
    <t>Equips territorials d'Intervenció Social(Tècnics graduats superiors)</t>
  </si>
  <si>
    <t>Plus Coordinació</t>
  </si>
  <si>
    <t>Equip d'Aeroports i intercanviadors</t>
  </si>
  <si>
    <t>Equip de Diagnòstic i Suport (EDIS)</t>
  </si>
  <si>
    <t>Oficina tècnica de l'observatori</t>
  </si>
  <si>
    <t>Equip de Suport per al recompte (2 Tècnics 4,33 mesos)</t>
  </si>
  <si>
    <t>Equip de Suport al Servei (grup III)</t>
  </si>
  <si>
    <t>Suport jurídic (Grup i)</t>
  </si>
  <si>
    <t>Suport psicològic (Grup i)</t>
  </si>
  <si>
    <t>Suport educatiu /Grup III)</t>
  </si>
  <si>
    <t>Auxiliar de la unitat mòbil</t>
  </si>
  <si>
    <t>Desenvolupament  de projectes socials</t>
  </si>
  <si>
    <t>HORES</t>
  </si>
  <si>
    <t xml:space="preserve">preu mòdul </t>
  </si>
  <si>
    <t>UNITATS DE SUPORT A CASP 126</t>
  </si>
  <si>
    <t xml:space="preserve">Unitat de recepció i gestió administrativa </t>
  </si>
  <si>
    <t>Despeses vehicles (neteja vehicles externa) 2 a la setmana</t>
  </si>
  <si>
    <t>Rotulació del vehicle</t>
  </si>
  <si>
    <t>Valoració i diagnòstic</t>
  </si>
  <si>
    <t>Substitucions plus nocturnitat</t>
  </si>
  <si>
    <t>Substitucions plus valoració i diagnòtic</t>
  </si>
  <si>
    <t>Substitucions plus disponibilitat</t>
  </si>
  <si>
    <t>Substitucions sou</t>
  </si>
  <si>
    <t>SI</t>
  </si>
  <si>
    <t>Substitució del 50%</t>
  </si>
  <si>
    <t>Substitucions sou 50%</t>
  </si>
  <si>
    <t>Substitucions plus nocturnitat  (25% de 40%)</t>
  </si>
  <si>
    <t>Substitucions plus disponibilitat (10% cost hora)</t>
  </si>
  <si>
    <t>Valoracio i diagnòstic</t>
  </si>
  <si>
    <t xml:space="preserve">Substitució </t>
  </si>
  <si>
    <t>https://www.justrenting.es/furgoneta-l1h1-combi-6-plazas</t>
  </si>
  <si>
    <t>Furgoneta L1H1 combi 6 plazas</t>
  </si>
  <si>
    <t>https://idoneo.es/renting/renault/kangoo/blanco-185905?o=24141710910</t>
  </si>
  <si>
    <t>Renault Kangoo Furgón L1 1.5 blue dci</t>
  </si>
  <si>
    <t>537€/mes</t>
  </si>
  <si>
    <t xml:space="preserve">514€/mes </t>
  </si>
  <si>
    <t>427€/mes</t>
  </si>
  <si>
    <t>https://idoneo.es/renting/renault/kangoo/blanco-185905</t>
  </si>
  <si>
    <t>https://www.coches.com/renting-coches/toyota-proace-city/8fb765eb-5d83-4811-833c-3e20b4604c55/</t>
  </si>
  <si>
    <t>TOYOTA Proace City</t>
  </si>
  <si>
    <t>Van Larga 1.5D GX Plus 130</t>
  </si>
  <si>
    <t>NISSAN Interstar</t>
  </si>
  <si>
    <t>Furgón 2.3dCi L1H1 3.5T FWD GO 135</t>
  </si>
  <si>
    <t>Lloguer espai  per la formació</t>
  </si>
  <si>
    <t>VIGILÀNCIA 2024</t>
  </si>
  <si>
    <t>Si el trabajo lo realizas durante un día festivo o fin de semana, debes añadir un plus de 0,96 € / hora y si trabajas durante la noche (de 22h a 6 de la mañana), aumentará otros 1,18 € / hora.</t>
  </si>
  <si>
    <r>
      <t xml:space="preserve">A partir del 1 de enero de 2024 el sueldo básico de un Vigilante de Seguridad asciende a </t>
    </r>
    <r>
      <rPr>
        <b/>
        <sz val="11"/>
        <color theme="1"/>
        <rFont val="Calibri"/>
        <family val="2"/>
        <scheme val="minor"/>
      </rPr>
      <t>1.353,05 € brutos mensuales, con tres pagas extra en marzo, julio y navidad,</t>
    </r>
    <r>
      <rPr>
        <sz val="11"/>
        <color theme="1"/>
        <rFont val="Calibri"/>
        <family val="2"/>
        <scheme val="minor"/>
      </rPr>
      <t xml:space="preserve"> según se indica en el artículo 45 del Convenio Colectivo de Seguridad Privada.</t>
    </r>
  </si>
  <si>
    <t>Hemos de tener en cuenta que, en las pagas extra, hay pluses que no computan, como son el plus de transporte y de vestuario. Si realizamos el cálculo de cuánto dinero cobraremos en la paga extra, para un Vigilante sin arma y sin antigüedad, la cuantía ascenderá a 1.117,32€ brutos (x3 pagas).</t>
  </si>
  <si>
    <r>
      <t xml:space="preserve">El </t>
    </r>
    <r>
      <rPr>
        <b/>
        <sz val="11"/>
        <color theme="1"/>
        <rFont val="Calibri"/>
        <family val="2"/>
        <scheme val="minor"/>
      </rPr>
      <t>calendario laboral del año 2024</t>
    </r>
    <r>
      <rPr>
        <sz val="11"/>
        <color theme="1"/>
        <rFont val="Calibri"/>
        <family val="2"/>
        <scheme val="minor"/>
      </rPr>
      <t xml:space="preserve"> en </t>
    </r>
    <r>
      <rPr>
        <b/>
        <sz val="11"/>
        <color theme="1"/>
        <rFont val="Calibri"/>
        <family val="2"/>
        <scheme val="minor"/>
      </rPr>
      <t>Catalunya</t>
    </r>
    <r>
      <rPr>
        <sz val="11"/>
        <color theme="1"/>
        <rFont val="Calibri"/>
        <family val="2"/>
        <scheme val="minor"/>
      </rPr>
      <t xml:space="preserve"> tiene 15 </t>
    </r>
    <r>
      <rPr>
        <b/>
        <sz val="11"/>
        <color theme="1"/>
        <rFont val="Calibri"/>
        <family val="2"/>
        <scheme val="minor"/>
      </rPr>
      <t>festivos</t>
    </r>
    <r>
      <rPr>
        <sz val="11"/>
        <color theme="1"/>
        <rFont val="Calibri"/>
        <family val="2"/>
        <scheme val="minor"/>
      </rPr>
      <t>. A las 13 fechas previstas por el Consell de Relacions Laborals (CRL), los ayuntamientos añaden dos fiestas locales, de carácter retribuido y no recuperable. </t>
    </r>
  </si>
  <si>
    <t>DIES ANUALS</t>
  </si>
  <si>
    <t>(2028+1)</t>
  </si>
  <si>
    <r>
      <t>1 de enero (lunes):</t>
    </r>
    <r>
      <rPr>
        <sz val="11"/>
        <color theme="1"/>
        <rFont val="Calibri"/>
        <family val="2"/>
        <scheme val="minor"/>
      </rPr>
      <t xml:space="preserve"> Año Nuevo</t>
    </r>
  </si>
  <si>
    <r>
      <t xml:space="preserve">Como 2024 es un año bisiesto, tiene 366 días. Quitemos </t>
    </r>
    <r>
      <rPr>
        <b/>
        <sz val="11"/>
        <color theme="1"/>
        <rFont val="Calibri"/>
        <family val="2"/>
        <scheme val="minor"/>
      </rPr>
      <t>52 sábados</t>
    </r>
    <r>
      <rPr>
        <sz val="11"/>
        <color theme="1"/>
        <rFont val="Calibri"/>
        <family val="2"/>
        <scheme val="minor"/>
      </rPr>
      <t xml:space="preserve"> y 52 domingos. 
Quedan 262 días. Ahora, eliminemos 10 días festivos que no caen durante un fin de semana y obtenemos 252 días hábiles en 2024 .</t>
    </r>
  </si>
  <si>
    <t>DIES FESTIUS</t>
  </si>
  <si>
    <t>(2024-7 Inclòs 11 de setembre)</t>
  </si>
  <si>
    <r>
      <t>6 de enero (sábado)</t>
    </r>
    <r>
      <rPr>
        <sz val="11"/>
        <color theme="1"/>
        <rFont val="Calibri"/>
        <family val="2"/>
        <scheme val="minor"/>
      </rPr>
      <t>: Reyes Magos</t>
    </r>
  </si>
  <si>
    <t>CAP SETMANA</t>
  </si>
  <si>
    <r>
      <t>29 de marzo (viernes)</t>
    </r>
    <r>
      <rPr>
        <sz val="11"/>
        <color theme="1"/>
        <rFont val="Calibri"/>
        <family val="2"/>
        <scheme val="minor"/>
      </rPr>
      <t>: Viernes Santo.</t>
    </r>
  </si>
  <si>
    <r>
      <t>1 de abril (lunes)</t>
    </r>
    <r>
      <rPr>
        <sz val="11"/>
        <color theme="1"/>
        <rFont val="Calibri"/>
        <family val="2"/>
        <scheme val="minor"/>
      </rPr>
      <t>: Lunes de Pascua.</t>
    </r>
  </si>
  <si>
    <t>9 SEPTIEMBRE</t>
  </si>
  <si>
    <r>
      <t>1 de mayo (miércoles):</t>
    </r>
    <r>
      <rPr>
        <sz val="11"/>
        <color theme="1"/>
        <rFont val="Calibri"/>
        <family val="2"/>
        <scheme val="minor"/>
      </rPr>
      <t xml:space="preserve"> Día Internacional de los Trabajadores. </t>
    </r>
  </si>
  <si>
    <r>
      <t>24 de junio (lunes)</t>
    </r>
    <r>
      <rPr>
        <sz val="11"/>
        <color theme="1"/>
        <rFont val="Calibri"/>
        <family val="2"/>
        <scheme val="minor"/>
      </rPr>
      <t>: Sant Joan.</t>
    </r>
  </si>
  <si>
    <r>
      <t>15 de agosto (jueves)</t>
    </r>
    <r>
      <rPr>
        <sz val="11"/>
        <color theme="1"/>
        <rFont val="Calibri"/>
        <family val="2"/>
        <scheme val="minor"/>
      </rPr>
      <t>: La Asunción.</t>
    </r>
  </si>
  <si>
    <r>
      <t>11 de septiembre (miércoles)</t>
    </r>
    <r>
      <rPr>
        <sz val="11"/>
        <color theme="1"/>
        <rFont val="Calibri"/>
        <family val="2"/>
        <scheme val="minor"/>
      </rPr>
      <t>: Diada Nacional de Catalunya.</t>
    </r>
  </si>
  <si>
    <t>6 festius</t>
  </si>
  <si>
    <r>
      <t>12 de octubre (sábado)</t>
    </r>
    <r>
      <rPr>
        <sz val="11"/>
        <color theme="1"/>
        <rFont val="Calibri"/>
        <family val="2"/>
        <scheme val="minor"/>
      </rPr>
      <t>: Fiesta Nacional de España.</t>
    </r>
  </si>
  <si>
    <r>
      <t>1 de noviembre (viernes)</t>
    </r>
    <r>
      <rPr>
        <sz val="11"/>
        <color theme="1"/>
        <rFont val="Calibri"/>
        <family val="2"/>
        <scheme val="minor"/>
      </rPr>
      <t>: Todos los Santos.</t>
    </r>
  </si>
  <si>
    <r>
      <t>6 de diciembre (viernes)</t>
    </r>
    <r>
      <rPr>
        <sz val="11"/>
        <color theme="1"/>
        <rFont val="Calibri"/>
        <family val="2"/>
        <scheme val="minor"/>
      </rPr>
      <t>: Día de la Constitución.</t>
    </r>
  </si>
  <si>
    <r>
      <t>25 de diciembre (miércoles)</t>
    </r>
    <r>
      <rPr>
        <sz val="11"/>
        <color theme="1"/>
        <rFont val="Calibri"/>
        <family val="2"/>
        <scheme val="minor"/>
      </rPr>
      <t>: Navidad.</t>
    </r>
  </si>
  <si>
    <r>
      <t>26 de diciembre (jueves):</t>
    </r>
    <r>
      <rPr>
        <sz val="11"/>
        <color theme="1"/>
        <rFont val="Calibri"/>
        <family val="2"/>
        <scheme val="minor"/>
      </rPr>
      <t xml:space="preserve"> Sant Esteve.</t>
    </r>
  </si>
  <si>
    <t>De 22 hores a 07 hores del dia següent</t>
  </si>
  <si>
    <t>Dies</t>
  </si>
  <si>
    <t>laborables</t>
  </si>
  <si>
    <t>cap de setmana</t>
  </si>
  <si>
    <t>jornada conveni</t>
  </si>
  <si>
    <t>Cost empresa</t>
  </si>
  <si>
    <t>festius</t>
  </si>
  <si>
    <t>Cost lligats al funcionament del SERVEI</t>
  </si>
  <si>
    <t>Percentatge previst</t>
  </si>
  <si>
    <t>Total h./dia</t>
  </si>
  <si>
    <t xml:space="preserve">Total h./set </t>
  </si>
  <si>
    <t>NECESSITATS total hores/any</t>
  </si>
  <si>
    <t>Empleats necessaris</t>
  </si>
  <si>
    <t xml:space="preserve">Salari anual empleat (sense pluses) </t>
  </si>
  <si>
    <t>PLUS NOCTURNITAT</t>
  </si>
  <si>
    <t>PLUS CAP SETMANA</t>
  </si>
  <si>
    <t>Cost empleats</t>
  </si>
  <si>
    <t>Cost S.S</t>
  </si>
  <si>
    <t>COST ANUAL</t>
  </si>
  <si>
    <t>Servei de vigilància de dll-dv (diürn)</t>
  </si>
  <si>
    <t>Servei de vigilància de dll-dv (nocturn)</t>
  </si>
  <si>
    <t>Servei de vigilància de caps setmana i festius (diürn)</t>
  </si>
  <si>
    <t>Servei de vigilància de caps setmana i festius (nocturn)</t>
  </si>
  <si>
    <t>Triennis</t>
  </si>
  <si>
    <t>Plus Nadal/Any nou</t>
  </si>
  <si>
    <t>Estim aug</t>
  </si>
  <si>
    <t>iva</t>
  </si>
  <si>
    <t>*</t>
  </si>
  <si>
    <t>benef</t>
  </si>
  <si>
    <t>setmana</t>
  </si>
  <si>
    <t>mes</t>
  </si>
  <si>
    <t>Cost de vigilància Casp 126</t>
  </si>
  <si>
    <t>Supervisió</t>
  </si>
  <si>
    <t>Aplicatiu informàtic</t>
  </si>
  <si>
    <t>Manteniment informàtic</t>
  </si>
  <si>
    <t>Altres recursos necessaris per la prestació del servei (atenció urgent)</t>
  </si>
  <si>
    <t>1 any + 12 mesos</t>
  </si>
  <si>
    <t>Provisió  segons conveny  2024-2026</t>
  </si>
  <si>
    <t>Plus coordinació</t>
  </si>
  <si>
    <t>D'acord amb el conveni no correspon el pagament del plus al  Director</t>
  </si>
  <si>
    <t xml:space="preserve">2020: 35,59 amb els suplements
2024 </t>
  </si>
  <si>
    <t xml:space="preserve">2020: 2 Coordinadors de zones 3.400 hores
2024: 5 Coordinadors de ciutat: 8.500 hores   </t>
  </si>
  <si>
    <t>2020: 680 hores
2024: 2.125 hores</t>
  </si>
  <si>
    <t>2020: 1.360
2024: 3.400</t>
  </si>
  <si>
    <t>SUBROGACIÓ</t>
  </si>
  <si>
    <t>COSTOS SOCIAL</t>
  </si>
  <si>
    <t>Nocturnitat</t>
  </si>
  <si>
    <t>Subrogació</t>
  </si>
  <si>
    <t>TREBALLADORS</t>
  </si>
  <si>
    <t>TOTAL SOU SUBR</t>
  </si>
  <si>
    <t>Dades del full de subrogació</t>
  </si>
  <si>
    <t>cost professional conveni
+pluses</t>
  </si>
  <si>
    <t>Diferencia</t>
  </si>
  <si>
    <t xml:space="preserve">sou
</t>
  </si>
  <si>
    <t>-</t>
  </si>
  <si>
    <t>Costos 
Socials</t>
  </si>
  <si>
    <t>Diirecció</t>
  </si>
  <si>
    <t>El  salari del Director és el de la subrogació superior un  23%  al de conveni.
El STD és una figura nova al nou contracte</t>
  </si>
  <si>
    <t>Provisions</t>
  </si>
  <si>
    <t>TOTALS</t>
  </si>
  <si>
    <t>TOTAL PERSONAL</t>
  </si>
  <si>
    <t>COSTOS INDIRECTES</t>
  </si>
  <si>
    <t>TOTAL COSTOS DE FUNCIONAMENT</t>
  </si>
  <si>
    <t>Benefici industrial</t>
  </si>
  <si>
    <t>Despeses generals de gestió</t>
  </si>
  <si>
    <t>TOTAL COSTOS DIRECTES</t>
  </si>
  <si>
    <t>Serveis complementaris</t>
  </si>
  <si>
    <t xml:space="preserve"> TOTAL CD+CI</t>
  </si>
  <si>
    <t>Amb Seguretat Social d'un 32,60%</t>
  </si>
  <si>
    <t xml:space="preserve">2020: 2 Coordinadors de zones 3.400 hores
2024: 5 Coordinadors de ciutat: 8.500 hores
Hi ha dos subrogats (Coordinadors i que sumen ambdós 89.564€ de sou brut) un 28% més que els tres restants.
Equip territorial (33,59 professionals), Equip d'Aeroport (6,30 professionals) i EDIS (6 professionals) </t>
  </si>
  <si>
    <t>2020: Tècnic mitgs 4 professionals 6.800 hores
2024: Tècnics superiors 6.800 hores
1 amb plus de coordinador</t>
  </si>
  <si>
    <t>2020: 6% 19.816,29</t>
  </si>
  <si>
    <t>El 14 dies festius equivalen a 1,5 vegades les hores realitzades</t>
  </si>
  <si>
    <t>PERSONAL QUALIFICAT</t>
  </si>
  <si>
    <t>DIPLOMATS</t>
  </si>
  <si>
    <t>LLICENCIATS</t>
  </si>
  <si>
    <t xml:space="preserve">SOTSDIRECCIÓ.COMANDAMENTS INTERMEDIS </t>
  </si>
  <si>
    <t>DIRECCIÓ</t>
  </si>
  <si>
    <t>sí un 30% de la jornada</t>
  </si>
  <si>
    <t>sí tota la jornada nocturna</t>
  </si>
  <si>
    <t>%25 del salari diari</t>
  </si>
  <si>
    <t>NOCTURNITAT jornada laboral que es realitza entre les 22h i les 8h.</t>
  </si>
  <si>
    <t>COORDINACIÓ</t>
  </si>
  <si>
    <t>VALORACIÓ I DIAGNÒSTIC</t>
  </si>
  <si>
    <t>import anual</t>
  </si>
  <si>
    <t>import per paga</t>
  </si>
  <si>
    <t>COMPLEMENTS (import taules salarials 2018-no actualitzats)</t>
  </si>
  <si>
    <t>Personal de servei (telefonista, personal de neteja, ordenances, conserge, etc.)</t>
  </si>
  <si>
    <t>Personal tècnic (cicles formatius grau mig)</t>
  </si>
  <si>
    <t>Personal tècnic superior (integradors socials, cicle formatiu grau superior)</t>
  </si>
  <si>
    <t>tècnic superior graduat actual DIPLOMATS</t>
  </si>
  <si>
    <t>LLICENCIATS a extinguir</t>
  </si>
  <si>
    <t>per hora</t>
  </si>
  <si>
    <t>plus disponibilitat</t>
  </si>
  <si>
    <t>preu hora</t>
  </si>
  <si>
    <t>salari anual</t>
  </si>
  <si>
    <t>cicle general</t>
  </si>
  <si>
    <t>jornada efectiva</t>
  </si>
  <si>
    <t>jornada anual</t>
  </si>
  <si>
    <t>33.59</t>
  </si>
  <si>
    <t xml:space="preserve">Substitucions sou </t>
  </si>
  <si>
    <t xml:space="preserve">El  salari del Director és el de la subrogació superior un  23%  
al de conveni.
</t>
  </si>
  <si>
    <t>Substitucions</t>
  </si>
  <si>
    <t>Subtitucions</t>
  </si>
  <si>
    <t>TOTAL PERFILS
PROFESSIONALS</t>
  </si>
  <si>
    <t>Repercussió costos generats pel desenvolupament del servei</t>
  </si>
  <si>
    <t>Desenvolupament de aplicatiu informàtic de gestió de les dades del servei (repercussió anual)</t>
  </si>
  <si>
    <t>Manteniment i adequació continuada de l'aplicatiu informàtic</t>
  </si>
  <si>
    <t xml:space="preserve">Manteniment informàtic del sistema de protecció ENS </t>
  </si>
  <si>
    <t>Incorporació de la perspectiva d'interoperabilitat a les bases de dades informatitzades (repercussió anual)</t>
  </si>
  <si>
    <t>Sistema de GEO localització</t>
  </si>
  <si>
    <t>€/mes</t>
  </si>
  <si>
    <t>Materials no inventariables</t>
  </si>
  <si>
    <t>Auditoria anual centre de cost del servei contractat</t>
  </si>
  <si>
    <t>Supervisió tècnica dels professionals (sessions)</t>
  </si>
  <si>
    <t>sessions de 2 h.</t>
  </si>
  <si>
    <t xml:space="preserve">Comunicació del professionals operatius i coordinació amb telefonia mòbil i dades </t>
  </si>
  <si>
    <t>any</t>
  </si>
  <si>
    <t>Dispositius mòbils per treballs amb dades  (repercussió anual)</t>
  </si>
  <si>
    <t>Despeses de desplaçament dels professionals propis en transport públic</t>
  </si>
  <si>
    <t>targeta</t>
  </si>
  <si>
    <t>Elements de protecció adients per a la prestació del servei</t>
  </si>
  <si>
    <t>Pantalons i armilla</t>
  </si>
  <si>
    <t>Equip de Suport per al recompte (2 Tècnics 3,33 mesos)</t>
  </si>
  <si>
    <t>Harmilla</t>
  </si>
  <si>
    <t>Amb Seguretat Social d'un 31,40%</t>
  </si>
  <si>
    <t>50% Perfils (inclou plusos)</t>
  </si>
  <si>
    <t>Equip de Suport al Servei (grup III) (2 professionals)</t>
  </si>
  <si>
    <t>Coordinador  (1 professional)</t>
  </si>
  <si>
    <t>EQUIP DE SUPORT PER AL RECOMPTE (4 professionals)</t>
  </si>
  <si>
    <t>Suport jurídic (Grup i) (2 professionals)</t>
  </si>
  <si>
    <t>Suport psicològic (Grup i)  (1 professional)</t>
  </si>
  <si>
    <t>Suport educatiu (Grup III) (2 professionals)</t>
  </si>
  <si>
    <t>Auxiliar de la unitat mòbil (1 professional)</t>
  </si>
  <si>
    <t>Auxiliar de la unitat mòvil. 100% (inclou plusos)</t>
  </si>
  <si>
    <t>2020: 2 Coordinadors de zones 3.400 hores
2024: 4 Coordinadors de ciutat: 6800 hores
Hi ha dos subrogats (Coordinadors i que sumen ambdós 89.564€ de sou brut) un 28% més que els dos restants.
Equip territorial (33,59 professionals), Equip d'Aeroport (6,30 professionals) i EDIS (6 professionals) 
Tots subrogats</t>
  </si>
  <si>
    <t>Unitat de recepció i gestió administrativa  (2 professionals)</t>
  </si>
  <si>
    <t>2020:Absentisme 6%
2024: Absentismes 5,23%
2020: Formació i riscos 2% 
2024 Formació i riscos 2%
2020:  Augment 8,04%
2024:  Augment 7,625%</t>
  </si>
  <si>
    <t>2020: 5%  despeses estructura i 5% Benefici industrial
2024: 4% despeses estructura i 3% Benefici industral</t>
  </si>
  <si>
    <t>Desenvolupament  de projectes socials (180 mòduls)</t>
  </si>
  <si>
    <t>SERVEI INTERPRETACIÓ (650)</t>
  </si>
  <si>
    <t>SERVEI DE TRADUCCIÓ (400 mòduls)</t>
  </si>
  <si>
    <t>2020: 250 mòduls</t>
  </si>
  <si>
    <t>2020: 800 mòduls</t>
  </si>
  <si>
    <t>2020: 400 mòduls</t>
  </si>
  <si>
    <t xml:space="preserve">L'any 2020 hi ha que s'activarà per una modificació del contracte </t>
  </si>
  <si>
    <t>No hi eren l'any 2020
Son vehicles de leasing</t>
  </si>
  <si>
    <t>No hi eren l'any 2020
Son despeses per neteja setmanal i integral, rotulació del vehicle, garage, rotulació vehicle i combustible  calculat per any a 1,74€</t>
  </si>
  <si>
    <t>2020: Recursos de capacitació / formadors (sessions especificas)</t>
  </si>
  <si>
    <t>ALTRE DESPESES DE FUNCIONAMENT</t>
  </si>
  <si>
    <t>2020: Desenvolupament de l'aplicatiu informàtic
2024 Dintre del Manteniment i de l'aplicatiu informàtic hi ha el malware</t>
  </si>
  <si>
    <t>2020: No partida auditoria</t>
  </si>
  <si>
    <r>
      <t xml:space="preserve">2020: </t>
    </r>
    <r>
      <rPr>
        <i/>
        <u/>
        <sz val="11"/>
        <rFont val="Calibri"/>
        <family val="2"/>
        <scheme val="minor"/>
      </rPr>
      <t>Tècnic mitgs</t>
    </r>
    <r>
      <rPr>
        <sz val="11"/>
        <rFont val="Calibri"/>
        <family val="2"/>
        <scheme val="minor"/>
      </rPr>
      <t xml:space="preserve"> 4 professionals 6.800 hores
2024:  4 T</t>
    </r>
    <r>
      <rPr>
        <u/>
        <sz val="11"/>
        <rFont val="Calibri"/>
        <family val="2"/>
        <scheme val="minor"/>
      </rPr>
      <t xml:space="preserve">ècnics superiors </t>
    </r>
    <r>
      <rPr>
        <sz val="11"/>
        <rFont val="Calibri"/>
        <family val="2"/>
        <scheme val="minor"/>
      </rPr>
      <t>6.800 hores + 1 amb plus de coordinador
2024: Sous d'acord amb el full de subrogació.</t>
    </r>
  </si>
  <si>
    <t>Incloses en els sous</t>
  </si>
  <si>
    <t>TOTAL PERSONAL AMB PROVISIONS DE PERSONAL</t>
  </si>
  <si>
    <t>TOTAL SERVEIS COMPLEMENTARIS + PERSONAL</t>
  </si>
  <si>
    <t>Formació</t>
  </si>
  <si>
    <t>Codi</t>
  </si>
  <si>
    <t>Descripció</t>
  </si>
  <si>
    <t>Quantitat estimada</t>
  </si>
  <si>
    <t>Preu u/t Sortida</t>
  </si>
  <si>
    <t>Import sortida</t>
  </si>
  <si>
    <t>Preu u/t  Proveïdor</t>
  </si>
  <si>
    <t>Import  Proveïdor</t>
  </si>
  <si>
    <t xml:space="preserve">Despeses per preu GLOBAL </t>
  </si>
  <si>
    <t>Preu GLOBAL</t>
  </si>
  <si>
    <t>Subtotal preu GLOBAL</t>
  </si>
  <si>
    <t>Subtotal preu global proveidor</t>
  </si>
  <si>
    <t xml:space="preserve">Despeses per preu UNITARI </t>
  </si>
  <si>
    <t>Subtotal preu UNITARI</t>
  </si>
  <si>
    <t>IMPORT:</t>
  </si>
  <si>
    <t xml:space="preserve">IMPORT:                    </t>
  </si>
  <si>
    <t>TOTAL:</t>
  </si>
  <si>
    <t xml:space="preserve">TOTAL PROVEIDOR: </t>
  </si>
  <si>
    <t>Barcelona, en la data de signatura</t>
  </si>
  <si>
    <r>
      <t>Les quantitats indicades per l’IMSS com a preu global net</t>
    </r>
    <r>
      <rPr>
        <sz val="11"/>
        <color indexed="8"/>
        <rFont val="Calibri"/>
        <family val="2"/>
      </rPr>
      <t xml:space="preserve"> així com cadascun dels preus unitaris nets determinats constitueixen la xifra màxima per sobre de la qual s'estimarà que les ofertes dels licitadors excedeixen el tipus de la licitació i, per tant, seran excloses.</t>
    </r>
  </si>
  <si>
    <t xml:space="preserve">50% dels equips </t>
  </si>
  <si>
    <t>100% Unitat mòbil</t>
  </si>
  <si>
    <t>provisió</t>
  </si>
  <si>
    <t>Preu unitaris</t>
  </si>
  <si>
    <t>SERVEI DE TRADUCCIÓ (400 paraules 1 unitat mòduls) 600 mòduls</t>
  </si>
  <si>
    <t>4199 hores</t>
  </si>
  <si>
    <t>24 hores</t>
  </si>
  <si>
    <t xml:space="preserve">24 hores </t>
  </si>
  <si>
    <t>Formació (12 mòduls 2 hores)</t>
  </si>
  <si>
    <t>Professionals
hores</t>
  </si>
  <si>
    <t>Preu sou amb Costos socials inclosos</t>
  </si>
  <si>
    <t>SUB</t>
  </si>
  <si>
    <t>sous perfils + complement</t>
  </si>
  <si>
    <t>CONV</t>
  </si>
  <si>
    <t>Grup I</t>
  </si>
  <si>
    <t>Grup I.I</t>
  </si>
  <si>
    <t>Grup II</t>
  </si>
  <si>
    <t>Grup III T.S</t>
  </si>
  <si>
    <t>Grup III PT</t>
  </si>
  <si>
    <t>Grup IV</t>
  </si>
  <si>
    <t>1 any + 36 mesos</t>
  </si>
  <si>
    <t>Preu hora</t>
  </si>
  <si>
    <t>Disponib/h</t>
  </si>
  <si>
    <t>25% nocturnit</t>
  </si>
  <si>
    <t>Complement d'antiguitat</t>
  </si>
  <si>
    <t>Subdir</t>
  </si>
  <si>
    <t xml:space="preserve">Substitució del Director </t>
  </si>
  <si>
    <t>Valoració i diagnosi</t>
  </si>
  <si>
    <t>Coordinador transversal</t>
  </si>
  <si>
    <t>NO</t>
  </si>
  <si>
    <t xml:space="preserve">Equips territorials d'atenció social i acció comunitària </t>
  </si>
  <si>
    <t xml:space="preserve">Suport educatiu </t>
  </si>
  <si>
    <t>SUB DIRECCIÓ (GRUP I.1)</t>
  </si>
  <si>
    <t xml:space="preserve">SUB DIRECCIÓ </t>
  </si>
  <si>
    <t xml:space="preserve">Coordinador  </t>
  </si>
  <si>
    <t xml:space="preserve">EQUIP D’AEROPORT I INTERCANVIADORS  ( Grup II) </t>
  </si>
  <si>
    <r>
      <rPr>
        <b/>
        <sz val="11"/>
        <color theme="1"/>
        <rFont val="Source Sans Pro"/>
        <family val="2"/>
      </rPr>
      <t>EQUIPS TERRITORIALS D'ATENCIÓ SOCIAL  I ACCIÓ COMUNITÀRIA (ETASC)</t>
    </r>
    <r>
      <rPr>
        <b/>
        <sz val="11"/>
        <color theme="1"/>
        <rFont val="Calibri"/>
        <family val="1"/>
      </rPr>
      <t xml:space="preserve">  (Grup II)</t>
    </r>
  </si>
  <si>
    <t xml:space="preserve">EQUIP DE DIAGNÒSTIC I SUPORT A DISPOSITIUS ESPECÍFICS DE CIUTAT (EDIS)  </t>
  </si>
  <si>
    <t xml:space="preserve">Equip de Diagnòstic i Suport (EDIS)  Grup II </t>
  </si>
  <si>
    <t>SUPORT EDUCATIU  Grup III.1</t>
  </si>
  <si>
    <t>SIMULACIÓ DE COST DE GESTIÓ DEL SERVEI D'ATENCIÓ SOCIAL AL SENSELLERISME A L'ESPAI PÚBLIC (SASSEP + SDI ) amb mesures de contractació pública sostenible</t>
  </si>
  <si>
    <t>Nocturnitat (25% del 23% hores previstes en horari nocturn)</t>
  </si>
  <si>
    <t>Substitucions plus nocturnitat  (25% de23%)</t>
  </si>
  <si>
    <t>Nocturnitat (25% del 50% hores previstes en horari nocturn)</t>
  </si>
  <si>
    <t>Perfil</t>
  </si>
  <si>
    <t>Grup</t>
  </si>
  <si>
    <t>Sou 2025 CC</t>
  </si>
  <si>
    <t>% nocturn</t>
  </si>
  <si>
    <t>% dispo</t>
  </si>
  <si>
    <t>% festius</t>
  </si>
  <si>
    <t>% caps set</t>
  </si>
  <si>
    <t>Sou 2026</t>
  </si>
  <si>
    <t>Plus nocturn</t>
  </si>
  <si>
    <t>Plus dispo</t>
  </si>
  <si>
    <t>Plus festius</t>
  </si>
  <si>
    <t>Plus caps set</t>
  </si>
  <si>
    <t>Total 2026</t>
  </si>
  <si>
    <t>Total 2027</t>
  </si>
  <si>
    <t>Total pluses</t>
  </si>
  <si>
    <t>GI</t>
  </si>
  <si>
    <t>Suport tècnic</t>
  </si>
  <si>
    <t>GII</t>
  </si>
  <si>
    <t>Coord EAT/EAE</t>
  </si>
  <si>
    <t>Coord platges</t>
  </si>
  <si>
    <t>Coord animals</t>
  </si>
  <si>
    <t>Integrant EAT</t>
  </si>
  <si>
    <t>GIII</t>
  </si>
  <si>
    <t>Integrant EAE</t>
  </si>
  <si>
    <t>Integrant platges</t>
  </si>
  <si>
    <t>Integrant animals</t>
  </si>
  <si>
    <t>Preu/hora</t>
  </si>
  <si>
    <t>Autònomos</t>
  </si>
  <si>
    <t>(80 euros/mensuals)</t>
  </si>
  <si>
    <t>OFICINA TÈCNICA DE L'OBSERVATORI DEL SASSEP (Grup II)</t>
  </si>
  <si>
    <r>
      <rPr>
        <b/>
        <sz val="7"/>
        <color theme="1"/>
        <rFont val="Times New Roman"/>
        <family val="1"/>
      </rPr>
      <t xml:space="preserve"> </t>
    </r>
    <r>
      <rPr>
        <b/>
        <sz val="11"/>
        <color theme="1"/>
        <rFont val="Source Sans Pro"/>
        <family val="2"/>
      </rPr>
      <t>EQUIP DE SUPORT AL RECOMPTE DE PERSONES SENSE LLAR (3,3 mesos)</t>
    </r>
  </si>
  <si>
    <t>EQUIP DIRECTIU</t>
  </si>
  <si>
    <t>COORDINADORS TERRITORIALS</t>
  </si>
  <si>
    <t>COORDINADORS TRANSVERSAL</t>
  </si>
  <si>
    <t xml:space="preserve">EQUIP OPERATIU </t>
  </si>
  <si>
    <t>OFICINA TÈCNICA DE L'OBSERVATORI DEL SASSEP</t>
  </si>
  <si>
    <t>Cos administratiu (Supòrt administratiu a l'Equip directiu)</t>
  </si>
  <si>
    <t>Substitució de vacances</t>
  </si>
  <si>
    <t>Preu/perfil</t>
  </si>
  <si>
    <t>Provisió  segons conveny  2026</t>
  </si>
  <si>
    <t>Provisió segons conveni 2027</t>
  </si>
  <si>
    <t>Diferncial subrogació</t>
  </si>
  <si>
    <t>Diferencial subrogació</t>
  </si>
  <si>
    <t xml:space="preserve">Complement d'antiguitat ( NO) </t>
  </si>
  <si>
    <t>Nocturnitat (25% del 10%)</t>
  </si>
  <si>
    <t>Equip suport recompte</t>
  </si>
  <si>
    <t>Suport administratiu a la gestió del servei /</t>
  </si>
  <si>
    <t>Recepció Casp 126</t>
  </si>
  <si>
    <t>Substitucio recepció</t>
  </si>
  <si>
    <t xml:space="preserve">Complement d'antigüitat </t>
  </si>
  <si>
    <t>Subtitucions (inclou disponib i nocturnitat)</t>
  </si>
  <si>
    <t>Complement antiguitat Supor juridic</t>
  </si>
  <si>
    <t xml:space="preserve">COS ADMINISTRATIU I SUPORTS AL SERVEIS </t>
  </si>
  <si>
    <t>TOTAL DE PERSONAL (SALARIS + PROVISIONS</t>
  </si>
  <si>
    <t>ALTRES DESPESES DE FUNCIONAMENT (SUPORT A LA INTERVENCIÓ)</t>
  </si>
  <si>
    <t>Llanternes</t>
  </si>
  <si>
    <t>Mantas isotèrmiques</t>
  </si>
  <si>
    <t>Mantes tèrmiques</t>
  </si>
  <si>
    <t>Ampolles d'aigua</t>
  </si>
  <si>
    <t>Gorres</t>
  </si>
  <si>
    <t>Cantimplores</t>
  </si>
  <si>
    <t>Crema protectora</t>
  </si>
  <si>
    <t>Linia mobils + mobils</t>
  </si>
  <si>
    <t>VIGILÀNCIA</t>
  </si>
  <si>
    <t>l servei requereix una cobertura de 4.940 hores anuals. Considerant la jornada anual de conveni (1.782 h), i descomptant vacances (176 h), permisos retribuïts (40 h) i un absentisme estimat del 4% (71 h), la disponibilitat efectiva per professional se situa en 1.495 hores anuals.</t>
  </si>
  <si>
    <t>En conseqüència, el dimensionament necessari del servei és de 3,30 efectius, recomanant-se un mínim de 3,4 professionals per garantir la continuïtat del servei i la cobertura de contingències.</t>
  </si>
  <si>
    <t>MODUL  SIDAI</t>
  </si>
  <si>
    <t>MODUL TALLER</t>
  </si>
  <si>
    <t>MODUL INTER</t>
  </si>
  <si>
    <t>MODUL TRADUC</t>
  </si>
  <si>
    <t>PROVISIÓ</t>
  </si>
  <si>
    <t>MODUL 2</t>
  </si>
  <si>
    <t>MODUL 3</t>
  </si>
  <si>
    <t>MODUL 4</t>
  </si>
  <si>
    <t>TALLERS</t>
  </si>
  <si>
    <t xml:space="preserve">IVA </t>
  </si>
  <si>
    <t>MODUL 5</t>
  </si>
  <si>
    <t>COMUNICACIÓ</t>
  </si>
  <si>
    <t>DESENVOLUPAMENT DE PROJECTES  SOCIALS I ACCIONS SINGULARS</t>
  </si>
  <si>
    <t>TALLERS (socio educatiu)</t>
  </si>
  <si>
    <t>DESENVOLUPAMENT</t>
  </si>
  <si>
    <t>Dades Segurentat Social 2026</t>
  </si>
  <si>
    <t>Augment 2026 I 2027  d'acord amb el Conveni estatal</t>
  </si>
  <si>
    <t>Per cada any</t>
  </si>
  <si>
    <t>2 Vigilants sense arma per cobrir tot l'any d'acord amb el conveni</t>
  </si>
  <si>
    <t>MODULS</t>
  </si>
  <si>
    <t>PREU MODUL</t>
  </si>
  <si>
    <t xml:space="preserve">COS ADMINISTRATIU I SUPORTS AL SERVEI </t>
  </si>
  <si>
    <t>Augment 2026 i 2027  d'acord amb el Conveni estatal</t>
  </si>
  <si>
    <t xml:space="preserve">DESPESES PROJECTES SOCIALS
GESTIÓ </t>
  </si>
  <si>
    <t>SERVEIS EXTERNS</t>
  </si>
  <si>
    <t>INTERPRETACIÒ</t>
  </si>
  <si>
    <t>TRADUCCIÓ</t>
  </si>
  <si>
    <t>ok</t>
  </si>
  <si>
    <t>SUPORT TÈCNIC PER A PROJECTES COMUNITARIS</t>
  </si>
  <si>
    <t>Suport tènic per a projecte específics</t>
  </si>
  <si>
    <t>Suport tècnic a la Direcció</t>
  </si>
  <si>
    <t>SERVEI D'INTERVENCIÓ SOCIAL</t>
  </si>
  <si>
    <t>Tècnics d'Intervenció social</t>
  </si>
  <si>
    <t>Tècnics en psicologia</t>
  </si>
  <si>
    <t xml:space="preserve">OFICINA TÈCNICA DE L'OBSERVATORI </t>
  </si>
  <si>
    <t>OK</t>
  </si>
  <si>
    <t>OFICINA TÈCNICA DE L'OBSERVATORI SDI (Grup II)</t>
  </si>
  <si>
    <t>Valoració i diagnòsi</t>
  </si>
  <si>
    <t>Servei extern d'assessorament jurídic expert per mòduls de 2 hores efectives de feina</t>
  </si>
  <si>
    <t>DESENVOLUPAMENT DE PROJECTES SOCIALS</t>
  </si>
  <si>
    <t>ASSESSORIA JURIDICA</t>
  </si>
  <si>
    <t xml:space="preserve">Aquest document s'ha de presentar signat 
pel representant legal de l'empresa  i en format PDF </t>
  </si>
  <si>
    <t>EXP P2600156  ANNEX-3 BIS</t>
  </si>
  <si>
    <t>200 DIES DE SERVEIS COMPLEMENTARIS GESTIO DELS SERVEIS MUNICIPALS ADREÇATS A VÍCTIMES DE TRÀFIC D'ÉSSERS HUMANS</t>
  </si>
  <si>
    <t>Servei d'Interpretació Intercultural</t>
  </si>
  <si>
    <t>Servei de Medicació Intercultural</t>
  </si>
  <si>
    <t>Preu UNITARI</t>
  </si>
  <si>
    <t>Servei de Traducció Documental (300 paraules /pàg)</t>
  </si>
  <si>
    <t>Servei de Traducció Jurada (300 paraules/pàg)</t>
  </si>
  <si>
    <t>Servei Jurista en SEU JUDICIAL</t>
  </si>
  <si>
    <t>Servei Jurista FORA de SEU JUDICIAL</t>
  </si>
  <si>
    <t>Servei de Supervisió</t>
  </si>
  <si>
    <t>200 dies.</t>
  </si>
  <si>
    <t>Pel període inicial del contracte</t>
  </si>
  <si>
    <t>Subtotal preus unitaris proveidor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</si>
</sst>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6" formatCode="#,##0\ &quot;€&quot;;[Red]\-#,##0\ &quot;€&quot;"/>
    <numFmt numFmtId="7" formatCode="#,##0.00\ &quot;€&quot;;\-#,##0.00\ &quot;€&quot;"/>
    <numFmt numFmtId="8" formatCode="#,##0.00\ &quot;€&quot;;[Red]\-#,##0.00\ &quot;€&quot;"/>
    <numFmt numFmtId="44" formatCode="_-* #,##0.00\ &quot;€&quot;_-;\-* #,##0.00\ &quot;€&quot;_-;_-* &quot;-&quot;??\ &quot;€&quot;_-;_-@_-"/>
    <numFmt numFmtId="43" formatCode="_-* #,##0.00_-;\-* #,##0.00_-;_-* &quot;-&quot;??_-;_-@_-"/>
    <numFmt numFmtId="164" formatCode="_-* #,##0.00\ _€_-;\-* #,##0.00\ _€_-;_-* &quot;-&quot;??\ _€_-;_-@_-"/>
    <numFmt numFmtId="165" formatCode="#,##0.00\ &quot;€&quot;"/>
    <numFmt numFmtId="166" formatCode="_-* #,##0\ _€_-;\-* #,##0\ _€_-;_-* &quot;-&quot;??\ _€_-;_-@_-"/>
    <numFmt numFmtId="167" formatCode="0.000%"/>
    <numFmt numFmtId="168" formatCode="#,##0.000000\ &quot;€&quot;;\-#,##0.000000\ &quot;€&quot;"/>
    <numFmt numFmtId="169" formatCode="#,##0.000000_ ;\-#,##0.000000\ "/>
    <numFmt numFmtId="170" formatCode="0.00000000"/>
    <numFmt numFmtId="171" formatCode="#,##0.00_ ;\-#,##0.00\ "/>
    <numFmt numFmtId="172" formatCode="#,##0_ ;\-#,##0\ "/>
    <numFmt numFmtId="173" formatCode="#,##0.00000\ &quot;€&quot;"/>
    <numFmt numFmtId="174" formatCode="#,##0.00000\ &quot;€&quot;;\-#,##0.00000\ &quot;€&quot;"/>
    <numFmt numFmtId="175" formatCode="#,##0.0\ &quot;€&quot;;\-#,##0.0\ &quot;€&quot;"/>
    <numFmt numFmtId="176" formatCode="#,##0.0000\ &quot;€&quot;;\-#,##0.0000\ &quot;€&quot;"/>
    <numFmt numFmtId="177" formatCode="#,##0.0_ ;\-#,##0.0\ "/>
    <numFmt numFmtId="178" formatCode="0.0000"/>
    <numFmt numFmtId="179" formatCode="#,##0.0000\ &quot;€&quot;"/>
    <numFmt numFmtId="180" formatCode="0.00000"/>
    <numFmt numFmtId="181" formatCode="#,##0.000000\ &quot;€&quot;"/>
    <numFmt numFmtId="182" formatCode="_-* #,##0.0000\ _€_-;\-* #,##0.0000\ _€_-;_-* &quot;-&quot;??\ _€_-;_-@_-"/>
    <numFmt numFmtId="183" formatCode="_-* #,##0.00\ [$€-403]_-;\-* #,##0.00\ [$€-403]_-;_-* &quot;-&quot;??\ [$€-403]_-;_-@_-"/>
    <numFmt numFmtId="184" formatCode="_-* #,##0.0000000\ [$€-403]_-;\-* #,##0.0000000\ [$€-403]_-;_-* &quot;-&quot;??\ [$€-403]_-;_-@_-"/>
    <numFmt numFmtId="185" formatCode="#,##0.000_ ;\-#,##0.000\ "/>
  </numFmts>
  <fonts count="8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b/>
      <sz val="14"/>
      <name val="Arial"/>
      <family val="2"/>
    </font>
    <font>
      <b/>
      <sz val="13"/>
      <name val="Arial"/>
      <family val="2"/>
    </font>
    <font>
      <b/>
      <sz val="10"/>
      <name val="Arial"/>
      <family val="2"/>
    </font>
    <font>
      <sz val="12"/>
      <name val="Arial"/>
      <family val="2"/>
    </font>
    <font>
      <b/>
      <sz val="12"/>
      <name val="Arial"/>
      <family val="2"/>
    </font>
    <font>
      <sz val="11"/>
      <name val="Calibri"/>
      <family val="2"/>
      <scheme val="minor"/>
    </font>
    <font>
      <b/>
      <sz val="11"/>
      <name val="Arial"/>
      <family val="2"/>
    </font>
    <font>
      <b/>
      <sz val="11"/>
      <color rgb="FFFF0000"/>
      <name val="Arial"/>
      <family val="2"/>
    </font>
    <font>
      <sz val="10"/>
      <color theme="1"/>
      <name val="Verdana"/>
      <family val="2"/>
    </font>
    <font>
      <b/>
      <sz val="14"/>
      <color theme="1"/>
      <name val="Calibri"/>
      <family val="2"/>
      <scheme val="minor"/>
    </font>
    <font>
      <b/>
      <sz val="11"/>
      <color rgb="FFFF0000"/>
      <name val="Calibri"/>
      <family val="2"/>
      <scheme val="minor"/>
    </font>
    <font>
      <b/>
      <sz val="11"/>
      <name val="Calibri"/>
      <family val="2"/>
      <scheme val="minor"/>
    </font>
    <font>
      <sz val="10"/>
      <color theme="0"/>
      <name val="Arial"/>
      <family val="2"/>
    </font>
    <font>
      <b/>
      <sz val="10"/>
      <color theme="0"/>
      <name val="Arial"/>
      <family val="2"/>
    </font>
    <font>
      <sz val="10"/>
      <color rgb="FF7030A0"/>
      <name val="Arial"/>
      <family val="2"/>
    </font>
    <font>
      <b/>
      <sz val="11"/>
      <color theme="8" tint="-0.249977111117893"/>
      <name val="Calibri"/>
      <family val="2"/>
      <scheme val="minor"/>
    </font>
    <font>
      <b/>
      <sz val="12"/>
      <color theme="1"/>
      <name val="Arial"/>
      <family val="2"/>
    </font>
    <font>
      <b/>
      <sz val="12"/>
      <color theme="1"/>
      <name val="Calibri"/>
      <family val="2"/>
      <scheme val="minor"/>
    </font>
    <font>
      <sz val="10"/>
      <color theme="1"/>
      <name val="Arial"/>
      <family val="2"/>
    </font>
    <font>
      <u/>
      <sz val="10"/>
      <color theme="10"/>
      <name val="Verdana"/>
      <family val="2"/>
    </font>
    <font>
      <b/>
      <sz val="10"/>
      <color theme="1"/>
      <name val="Calibri"/>
      <family val="2"/>
      <scheme val="minor"/>
    </font>
    <font>
      <sz val="11"/>
      <color theme="1"/>
      <name val="Arial"/>
      <family val="2"/>
    </font>
    <font>
      <sz val="11"/>
      <color rgb="FFFF0000"/>
      <name val="Arial"/>
      <family val="2"/>
    </font>
    <font>
      <b/>
      <sz val="11"/>
      <color theme="4"/>
      <name val="Calibri"/>
      <family val="2"/>
      <scheme val="minor"/>
    </font>
    <font>
      <i/>
      <sz val="11"/>
      <color theme="1"/>
      <name val="Calibri"/>
      <family val="2"/>
      <scheme val="minor"/>
    </font>
    <font>
      <b/>
      <i/>
      <sz val="11"/>
      <color theme="1"/>
      <name val="Calibri"/>
      <family val="2"/>
      <scheme val="minor"/>
    </font>
    <font>
      <i/>
      <sz val="10"/>
      <name val="Arial"/>
      <family val="2"/>
    </font>
    <font>
      <b/>
      <i/>
      <sz val="10"/>
      <name val="Arial"/>
      <family val="2"/>
    </font>
    <font>
      <sz val="12"/>
      <color theme="1"/>
      <name val="Calibri"/>
      <family val="2"/>
      <scheme val="minor"/>
    </font>
    <font>
      <b/>
      <sz val="13.5"/>
      <color theme="1"/>
      <name val="Calibri"/>
      <family val="2"/>
      <scheme val="minor"/>
    </font>
    <font>
      <b/>
      <i/>
      <u/>
      <sz val="13.5"/>
      <color theme="1"/>
      <name val="Calibri"/>
      <family val="2"/>
      <scheme val="minor"/>
    </font>
    <font>
      <u/>
      <sz val="11"/>
      <color theme="10"/>
      <name val="Calibri"/>
      <family val="2"/>
      <scheme val="minor"/>
    </font>
    <font>
      <sz val="11"/>
      <color theme="3"/>
      <name val="Calibri"/>
      <family val="2"/>
      <scheme val="minor"/>
    </font>
    <font>
      <i/>
      <sz val="11"/>
      <name val="Calibri"/>
      <family val="2"/>
      <scheme val="minor"/>
    </font>
    <font>
      <sz val="18"/>
      <color theme="1"/>
      <name val="Calibri"/>
      <family val="2"/>
      <scheme val="minor"/>
    </font>
    <font>
      <b/>
      <sz val="11"/>
      <color theme="3" tint="0.39997558519241921"/>
      <name val="Calibri"/>
      <family val="2"/>
      <scheme val="minor"/>
    </font>
    <font>
      <sz val="10"/>
      <color rgb="FFFF0000"/>
      <name val="Arial"/>
      <family val="2"/>
    </font>
    <font>
      <b/>
      <sz val="14"/>
      <name val="Calibri"/>
      <family val="2"/>
      <scheme val="minor"/>
    </font>
    <font>
      <sz val="12"/>
      <color theme="0"/>
      <name val="Calibri"/>
      <family val="2"/>
      <scheme val="minor"/>
    </font>
    <font>
      <sz val="16"/>
      <color theme="1"/>
      <name val="Calibri"/>
      <family val="2"/>
      <scheme val="minor"/>
    </font>
    <font>
      <sz val="11"/>
      <color theme="3" tint="0.39997558519241921"/>
      <name val="Calibri"/>
      <family val="2"/>
      <scheme val="minor"/>
    </font>
    <font>
      <b/>
      <sz val="10"/>
      <color rgb="FFFF0000"/>
      <name val="Arial"/>
      <family val="2"/>
    </font>
    <font>
      <b/>
      <sz val="8"/>
      <name val="Arial"/>
      <family val="2"/>
    </font>
    <font>
      <i/>
      <sz val="10"/>
      <color rgb="FFFF0000"/>
      <name val="Arial"/>
      <family val="2"/>
    </font>
    <font>
      <sz val="11"/>
      <color rgb="FF00B050"/>
      <name val="Calibri"/>
      <family val="2"/>
      <scheme val="minor"/>
    </font>
    <font>
      <i/>
      <sz val="11"/>
      <color rgb="FF00B050"/>
      <name val="Calibri"/>
      <family val="2"/>
      <scheme val="minor"/>
    </font>
    <font>
      <sz val="9"/>
      <color indexed="81"/>
      <name val="Tahoma"/>
      <family val="2"/>
    </font>
    <font>
      <b/>
      <sz val="9"/>
      <color indexed="81"/>
      <name val="Tahoma"/>
      <family val="2"/>
    </font>
    <font>
      <b/>
      <sz val="11"/>
      <color theme="8" tint="-0.499984740745262"/>
      <name val="Calibri"/>
      <family val="2"/>
      <scheme val="minor"/>
    </font>
    <font>
      <b/>
      <i/>
      <sz val="11"/>
      <color rgb="FF00B050"/>
      <name val="Calibri"/>
      <family val="2"/>
      <scheme val="minor"/>
    </font>
    <font>
      <i/>
      <sz val="11"/>
      <color rgb="FF92D050"/>
      <name val="Calibri"/>
      <family val="2"/>
      <scheme val="minor"/>
    </font>
    <font>
      <b/>
      <sz val="10"/>
      <color rgb="FF002060"/>
      <name val="Arial"/>
      <family val="2"/>
    </font>
    <font>
      <i/>
      <sz val="10"/>
      <color rgb="FF002060"/>
      <name val="Arial"/>
      <family val="2"/>
    </font>
    <font>
      <sz val="11"/>
      <color rgb="FF002060"/>
      <name val="Calibri"/>
      <family val="2"/>
      <scheme val="minor"/>
    </font>
    <font>
      <b/>
      <sz val="11"/>
      <color rgb="FF00B050"/>
      <name val="Calibri"/>
      <family val="2"/>
      <scheme val="minor"/>
    </font>
    <font>
      <sz val="10"/>
      <name val="Arial"/>
      <family val="2"/>
    </font>
    <font>
      <sz val="8"/>
      <color theme="1"/>
      <name val="Arial"/>
      <family val="2"/>
    </font>
    <font>
      <sz val="8"/>
      <name val="Arial"/>
      <family val="2"/>
    </font>
    <font>
      <u/>
      <sz val="11"/>
      <name val="Calibri"/>
      <family val="2"/>
      <scheme val="minor"/>
    </font>
    <font>
      <i/>
      <u/>
      <sz val="11"/>
      <name val="Calibri"/>
      <family val="2"/>
      <scheme val="minor"/>
    </font>
    <font>
      <sz val="10"/>
      <name val="Arial"/>
      <family val="2"/>
    </font>
    <font>
      <b/>
      <sz val="8"/>
      <color theme="1"/>
      <name val="Verdana"/>
      <family val="2"/>
    </font>
    <font>
      <sz val="8"/>
      <color rgb="FF000000"/>
      <name val="Arial"/>
      <family val="2"/>
    </font>
    <font>
      <sz val="8"/>
      <color theme="1"/>
      <name val="Verdana"/>
      <family val="2"/>
    </font>
    <font>
      <sz val="10"/>
      <name val="Arial"/>
      <family val="2"/>
    </font>
    <font>
      <b/>
      <sz val="10"/>
      <color theme="1"/>
      <name val="Verdana"/>
      <family val="2"/>
    </font>
    <font>
      <b/>
      <sz val="24"/>
      <name val="Calibri"/>
      <family val="2"/>
      <scheme val="minor"/>
    </font>
    <font>
      <b/>
      <sz val="20"/>
      <name val="Calibri"/>
      <family val="2"/>
      <scheme val="minor"/>
    </font>
    <font>
      <sz val="9"/>
      <color theme="1"/>
      <name val="Calibri"/>
      <family val="2"/>
      <scheme val="minor"/>
    </font>
    <font>
      <b/>
      <sz val="9"/>
      <name val="Calibri"/>
      <family val="2"/>
      <scheme val="minor"/>
    </font>
    <font>
      <sz val="9"/>
      <name val="Calibri"/>
      <family val="2"/>
      <scheme val="minor"/>
    </font>
    <font>
      <b/>
      <sz val="10"/>
      <name val="Calibri"/>
      <family val="2"/>
      <scheme val="minor"/>
    </font>
    <font>
      <b/>
      <sz val="9"/>
      <color theme="1"/>
      <name val="Calibri"/>
      <family val="2"/>
      <scheme val="minor"/>
    </font>
    <font>
      <b/>
      <sz val="10"/>
      <color rgb="FFFF0000"/>
      <name val="Calibri"/>
      <family val="2"/>
      <scheme val="minor"/>
    </font>
    <font>
      <sz val="11"/>
      <color indexed="8"/>
      <name val="Calibri"/>
      <family val="2"/>
    </font>
    <font>
      <sz val="11"/>
      <color theme="8" tint="-0.499984740745262"/>
      <name val="Calibri"/>
      <family val="2"/>
      <scheme val="minor"/>
    </font>
    <font>
      <b/>
      <sz val="11"/>
      <color theme="1"/>
      <name val="Source Sans Pro"/>
      <family val="2"/>
    </font>
    <font>
      <b/>
      <sz val="11"/>
      <color theme="1"/>
      <name val="Calibri"/>
      <family val="1"/>
    </font>
    <font>
      <b/>
      <sz val="11"/>
      <color theme="1"/>
      <name val="Calibri"/>
      <family val="2"/>
    </font>
    <font>
      <b/>
      <sz val="7"/>
      <color theme="1"/>
      <name val="Times New Roman"/>
      <family val="1"/>
    </font>
    <font>
      <sz val="12"/>
      <color theme="1"/>
      <name val="Aptos"/>
      <family val="2"/>
    </font>
    <font>
      <sz val="11"/>
      <color theme="1"/>
      <name val="Segoe UI"/>
      <family val="2"/>
    </font>
    <font>
      <b/>
      <i/>
      <sz val="11"/>
      <name val="Calibri"/>
      <family val="2"/>
      <scheme val="minor"/>
    </font>
  </fonts>
  <fills count="42">
    <fill>
      <patternFill patternType="none"/>
    </fill>
    <fill>
      <patternFill patternType="gray125"/>
    </fill>
    <fill>
      <patternFill patternType="solid">
        <fgColor theme="0"/>
        <bgColor indexed="64"/>
      </patternFill>
    </fill>
    <fill>
      <patternFill patternType="solid">
        <fgColor indexed="13"/>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C2C2C2"/>
        <bgColor indexed="64"/>
      </patternFill>
    </fill>
    <fill>
      <patternFill patternType="solid">
        <fgColor rgb="FFCCECFF"/>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rgb="FFFDDDC3"/>
        <bgColor indexed="64"/>
      </patternFill>
    </fill>
    <fill>
      <patternFill patternType="solid">
        <fgColor theme="5" tint="0.39997558519241921"/>
        <bgColor indexed="64"/>
      </patternFill>
    </fill>
    <fill>
      <patternFill patternType="solid">
        <fgColor rgb="FF00FA7D"/>
        <bgColor indexed="64"/>
      </patternFill>
    </fill>
    <fill>
      <patternFill patternType="solid">
        <fgColor rgb="FFFFFF99"/>
        <bgColor indexed="64"/>
      </patternFill>
    </fill>
    <fill>
      <patternFill patternType="solid">
        <fgColor rgb="FFFFC000"/>
        <bgColor indexed="64"/>
      </patternFill>
    </fill>
    <fill>
      <patternFill patternType="solid">
        <fgColor theme="5"/>
      </patternFill>
    </fill>
    <fill>
      <patternFill patternType="solid">
        <fgColor theme="4" tint="0.79998168889431442"/>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9F"/>
        <bgColor indexed="64"/>
      </patternFill>
    </fill>
    <fill>
      <patternFill patternType="solid">
        <fgColor rgb="FFF0FAA8"/>
        <bgColor indexed="64"/>
      </patternFill>
    </fill>
    <fill>
      <patternFill patternType="solid">
        <fgColor indexed="31"/>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rgb="FFC3F1FD"/>
        <bgColor indexed="64"/>
      </patternFill>
    </fill>
    <fill>
      <patternFill patternType="solid">
        <fgColor theme="9" tint="0.59999389629810485"/>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92D050"/>
        <bgColor indexed="64"/>
      </patternFill>
    </fill>
    <fill>
      <patternFill patternType="solid">
        <fgColor theme="6" tint="0.59999389629810485"/>
        <bgColor indexed="64"/>
      </patternFill>
    </fill>
    <fill>
      <patternFill patternType="solid">
        <fgColor indexed="51"/>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D1"/>
        <bgColor indexed="64"/>
      </patternFill>
    </fill>
    <fill>
      <patternFill patternType="solid">
        <fgColor theme="4" tint="0.39997558519241921"/>
        <bgColor indexed="64"/>
      </patternFill>
    </fill>
    <fill>
      <patternFill patternType="solid">
        <fgColor theme="2" tint="-0.499984740745262"/>
        <bgColor indexed="64"/>
      </patternFill>
    </fill>
    <fill>
      <patternFill patternType="solid">
        <fgColor rgb="FFFF0000"/>
        <bgColor indexed="64"/>
      </patternFill>
    </fill>
  </fills>
  <borders count="7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bottom/>
      <diagonal/>
    </border>
    <border>
      <left style="thick">
        <color indexed="64"/>
      </left>
      <right/>
      <top/>
      <bottom style="thick">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ck">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bottom style="thick">
        <color indexed="64"/>
      </bottom>
      <diagonal/>
    </border>
    <border>
      <left style="medium">
        <color indexed="64"/>
      </left>
      <right style="medium">
        <color indexed="64"/>
      </right>
      <top style="thin">
        <color indexed="64"/>
      </top>
      <bottom style="thin">
        <color indexed="64"/>
      </bottom>
      <diagonal/>
    </border>
    <border>
      <left style="thick">
        <color indexed="64"/>
      </left>
      <right style="thick">
        <color indexed="64"/>
      </right>
      <top/>
      <bottom style="thick">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ck">
        <color indexed="64"/>
      </left>
      <right style="thick">
        <color indexed="64"/>
      </right>
      <top style="thick">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ck">
        <color indexed="64"/>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thick">
        <color indexed="64"/>
      </right>
      <top style="thick">
        <color indexed="64"/>
      </top>
      <bottom style="thick">
        <color indexed="64"/>
      </bottom>
      <diagonal/>
    </border>
    <border>
      <left style="double">
        <color indexed="64"/>
      </left>
      <right style="thick">
        <color indexed="64"/>
      </right>
      <top style="dotted">
        <color indexed="64"/>
      </top>
      <bottom style="dotted">
        <color indexed="64"/>
      </bottom>
      <diagonal/>
    </border>
    <border>
      <left style="thick">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style="medium">
        <color indexed="64"/>
      </top>
      <bottom style="medium">
        <color indexed="64"/>
      </bottom>
      <diagonal/>
    </border>
    <border>
      <left style="thick">
        <color indexed="64"/>
      </left>
      <right style="thick">
        <color indexed="64"/>
      </right>
      <top/>
      <bottom/>
      <diagonal/>
    </border>
    <border>
      <left style="thick">
        <color indexed="64"/>
      </left>
      <right style="medium">
        <color indexed="64"/>
      </right>
      <top/>
      <bottom style="medium">
        <color indexed="64"/>
      </bottom>
      <diagonal/>
    </border>
    <border>
      <left/>
      <right style="thin">
        <color indexed="64"/>
      </right>
      <top/>
      <bottom style="medium">
        <color indexed="64"/>
      </bottom>
      <diagonal/>
    </border>
  </borders>
  <cellStyleXfs count="36">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xf numFmtId="0" fontId="14" fillId="0" borderId="0"/>
    <xf numFmtId="43" fontId="1"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4" fillId="0" borderId="0"/>
    <xf numFmtId="0" fontId="1" fillId="0" borderId="0"/>
    <xf numFmtId="0" fontId="5" fillId="0" borderId="0"/>
    <xf numFmtId="0" fontId="5" fillId="0" borderId="0"/>
    <xf numFmtId="0" fontId="5" fillId="0" borderId="0"/>
    <xf numFmtId="9" fontId="24"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5" fillId="0" borderId="0" applyNumberFormat="0" applyFill="0" applyBorder="0" applyAlignment="0" applyProtection="0">
      <alignment vertical="top"/>
      <protection locked="0"/>
    </xf>
    <xf numFmtId="0" fontId="37" fillId="0" borderId="0" applyNumberFormat="0" applyFill="0" applyBorder="0" applyAlignment="0" applyProtection="0"/>
    <xf numFmtId="44" fontId="1" fillId="0" borderId="0" applyFont="0" applyFill="0" applyBorder="0" applyAlignment="0" applyProtection="0"/>
    <xf numFmtId="0" fontId="4" fillId="16" borderId="0" applyNumberFormat="0" applyBorder="0" applyAlignment="0" applyProtection="0"/>
    <xf numFmtId="0" fontId="61" fillId="0" borderId="0"/>
    <xf numFmtId="0" fontId="66" fillId="0" borderId="0"/>
    <xf numFmtId="16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70" fillId="0" borderId="0"/>
    <xf numFmtId="0" fontId="1" fillId="0" borderId="0"/>
    <xf numFmtId="0" fontId="5" fillId="0" borderId="0"/>
    <xf numFmtId="0" fontId="5" fillId="0" borderId="0"/>
  </cellStyleXfs>
  <cellXfs count="1719">
    <xf numFmtId="0" fontId="0" fillId="0" borderId="0" xfId="0"/>
    <xf numFmtId="0" fontId="5" fillId="0" borderId="0" xfId="3"/>
    <xf numFmtId="0" fontId="0" fillId="2" borderId="0" xfId="0" applyFill="1"/>
    <xf numFmtId="0" fontId="0" fillId="0" borderId="8" xfId="0" applyBorder="1"/>
    <xf numFmtId="0" fontId="0" fillId="2" borderId="3" xfId="0" applyFill="1" applyBorder="1"/>
    <xf numFmtId="0" fontId="0" fillId="2" borderId="8" xfId="0" applyFill="1" applyBorder="1"/>
    <xf numFmtId="0" fontId="0" fillId="0" borderId="20" xfId="0" applyBorder="1"/>
    <xf numFmtId="0" fontId="0" fillId="0" borderId="3" xfId="0" applyBorder="1"/>
    <xf numFmtId="165" fontId="0" fillId="2" borderId="3" xfId="0" applyNumberFormat="1" applyFill="1" applyBorder="1"/>
    <xf numFmtId="0" fontId="0" fillId="0" borderId="14" xfId="0" applyBorder="1"/>
    <xf numFmtId="0" fontId="0" fillId="0" borderId="13" xfId="0" applyBorder="1"/>
    <xf numFmtId="0" fontId="0" fillId="0" borderId="27" xfId="0" applyBorder="1"/>
    <xf numFmtId="0" fontId="0" fillId="0" borderId="23" xfId="0" applyBorder="1"/>
    <xf numFmtId="0" fontId="0" fillId="8" borderId="15" xfId="0" applyFill="1" applyBorder="1"/>
    <xf numFmtId="0" fontId="0" fillId="8" borderId="22" xfId="0" applyFill="1" applyBorder="1"/>
    <xf numFmtId="0" fontId="0" fillId="8" borderId="21" xfId="0" applyFill="1" applyBorder="1"/>
    <xf numFmtId="10" fontId="0" fillId="0" borderId="18" xfId="2" applyNumberFormat="1" applyFont="1" applyBorder="1" applyAlignment="1">
      <alignment horizontal="center" vertical="center"/>
    </xf>
    <xf numFmtId="2" fontId="2" fillId="0" borderId="0" xfId="0" applyNumberFormat="1" applyFont="1"/>
    <xf numFmtId="9" fontId="0" fillId="0" borderId="1" xfId="2" applyFont="1" applyBorder="1" applyAlignment="1">
      <alignment horizontal="center" vertical="center"/>
    </xf>
    <xf numFmtId="0" fontId="2" fillId="0" borderId="0" xfId="0" applyFont="1"/>
    <xf numFmtId="7" fontId="0" fillId="0" borderId="0" xfId="0" applyNumberFormat="1"/>
    <xf numFmtId="0" fontId="4" fillId="2" borderId="0" xfId="0" applyFont="1" applyFill="1"/>
    <xf numFmtId="8" fontId="5" fillId="0" borderId="0" xfId="3" applyNumberFormat="1"/>
    <xf numFmtId="0" fontId="0" fillId="0" borderId="18" xfId="0" applyBorder="1"/>
    <xf numFmtId="0" fontId="0" fillId="0" borderId="16" xfId="0" applyBorder="1"/>
    <xf numFmtId="0" fontId="0" fillId="0" borderId="19" xfId="0" applyBorder="1"/>
    <xf numFmtId="0" fontId="3" fillId="8" borderId="29" xfId="0" applyFont="1" applyFill="1" applyBorder="1" applyAlignment="1">
      <alignment horizontal="center" vertical="center" wrapText="1"/>
    </xf>
    <xf numFmtId="0" fontId="3" fillId="8" borderId="29" xfId="0" applyFont="1" applyFill="1" applyBorder="1" applyAlignment="1">
      <alignment horizontal="center" vertical="center"/>
    </xf>
    <xf numFmtId="0" fontId="3" fillId="8" borderId="30" xfId="0" applyFont="1" applyFill="1" applyBorder="1" applyAlignment="1">
      <alignment horizontal="center" vertical="center" wrapText="1"/>
    </xf>
    <xf numFmtId="0" fontId="3" fillId="8" borderId="30" xfId="0" applyFont="1" applyFill="1" applyBorder="1" applyAlignment="1">
      <alignment horizontal="center" vertical="center"/>
    </xf>
    <xf numFmtId="0" fontId="3" fillId="8"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6" borderId="11" xfId="0" applyFont="1" applyFill="1" applyBorder="1" applyAlignment="1">
      <alignment horizontal="left" vertical="center"/>
    </xf>
    <xf numFmtId="0" fontId="3" fillId="6" borderId="11" xfId="0" applyFont="1" applyFill="1" applyBorder="1" applyAlignment="1">
      <alignment horizontal="center" vertical="center"/>
    </xf>
    <xf numFmtId="0" fontId="3" fillId="6" borderId="15" xfId="0" applyFont="1" applyFill="1" applyBorder="1" applyAlignment="1">
      <alignment horizontal="left" vertical="center"/>
    </xf>
    <xf numFmtId="0" fontId="0" fillId="0" borderId="5" xfId="0" applyBorder="1"/>
    <xf numFmtId="164" fontId="0" fillId="0" borderId="17" xfId="1" applyFont="1" applyBorder="1"/>
    <xf numFmtId="164" fontId="0" fillId="0" borderId="17" xfId="1" applyFont="1" applyBorder="1" applyAlignment="1">
      <alignment horizontal="center" vertical="center"/>
    </xf>
    <xf numFmtId="164" fontId="0" fillId="0" borderId="17" xfId="1" applyFont="1" applyBorder="1" applyAlignment="1">
      <alignment horizontal="center"/>
    </xf>
    <xf numFmtId="171" fontId="0" fillId="0" borderId="17" xfId="1" applyNumberFormat="1" applyFont="1" applyBorder="1" applyAlignment="1">
      <alignment horizontal="center" vertical="center"/>
    </xf>
    <xf numFmtId="171" fontId="2" fillId="0" borderId="17" xfId="1" applyNumberFormat="1" applyFont="1" applyBorder="1" applyAlignment="1">
      <alignment horizontal="center" vertical="center"/>
    </xf>
    <xf numFmtId="7" fontId="16" fillId="0" borderId="17" xfId="1" applyNumberFormat="1" applyFont="1" applyBorder="1"/>
    <xf numFmtId="7" fontId="3" fillId="0" borderId="18" xfId="1" applyNumberFormat="1" applyFont="1" applyBorder="1" applyAlignment="1">
      <alignment horizontal="center" vertical="center"/>
    </xf>
    <xf numFmtId="7" fontId="0" fillId="0" borderId="17" xfId="0" applyNumberFormat="1" applyBorder="1" applyAlignment="1">
      <alignment horizontal="right"/>
    </xf>
    <xf numFmtId="7" fontId="0" fillId="0" borderId="3" xfId="0" applyNumberFormat="1" applyBorder="1" applyAlignment="1">
      <alignment horizontal="right"/>
    </xf>
    <xf numFmtId="164" fontId="0" fillId="0" borderId="3" xfId="1" applyFont="1" applyBorder="1"/>
    <xf numFmtId="164" fontId="0" fillId="0" borderId="3" xfId="1" applyFont="1" applyBorder="1" applyAlignment="1">
      <alignment horizontal="center" vertical="center"/>
    </xf>
    <xf numFmtId="164" fontId="0" fillId="0" borderId="3" xfId="1" applyFont="1" applyBorder="1" applyAlignment="1">
      <alignment horizontal="center"/>
    </xf>
    <xf numFmtId="171" fontId="2" fillId="0" borderId="3" xfId="1" applyNumberFormat="1" applyFont="1" applyBorder="1" applyAlignment="1">
      <alignment horizontal="center" vertical="center"/>
    </xf>
    <xf numFmtId="7" fontId="16" fillId="0" borderId="3" xfId="1" applyNumberFormat="1" applyFont="1" applyBorder="1"/>
    <xf numFmtId="164" fontId="0" fillId="0" borderId="5" xfId="1" applyFont="1" applyBorder="1"/>
    <xf numFmtId="164" fontId="0" fillId="0" borderId="5" xfId="1" applyFont="1" applyBorder="1" applyAlignment="1">
      <alignment horizontal="center" vertical="center"/>
    </xf>
    <xf numFmtId="164" fontId="0" fillId="0" borderId="5" xfId="1" applyFont="1" applyBorder="1" applyAlignment="1">
      <alignment horizontal="center"/>
    </xf>
    <xf numFmtId="172" fontId="0" fillId="0" borderId="5" xfId="1" applyNumberFormat="1" applyFont="1" applyBorder="1" applyAlignment="1">
      <alignment horizontal="center" vertical="center"/>
    </xf>
    <xf numFmtId="172" fontId="2" fillId="0" borderId="5" xfId="1" applyNumberFormat="1" applyFont="1" applyBorder="1" applyAlignment="1">
      <alignment horizontal="center" vertical="center"/>
    </xf>
    <xf numFmtId="7" fontId="16" fillId="0" borderId="5" xfId="1" applyNumberFormat="1" applyFont="1" applyBorder="1"/>
    <xf numFmtId="171" fontId="0" fillId="0" borderId="5" xfId="1" applyNumberFormat="1" applyFont="1" applyBorder="1" applyAlignment="1">
      <alignment horizontal="center" vertical="center"/>
    </xf>
    <xf numFmtId="0" fontId="5" fillId="11" borderId="21" xfId="3" applyFill="1" applyBorder="1" applyAlignment="1">
      <alignment vertical="center"/>
    </xf>
    <xf numFmtId="2" fontId="18" fillId="11" borderId="21" xfId="3" applyNumberFormat="1" applyFont="1" applyFill="1" applyBorder="1" applyAlignment="1">
      <alignment horizontal="center" vertical="center"/>
    </xf>
    <xf numFmtId="4" fontId="19" fillId="11" borderId="21" xfId="3" applyNumberFormat="1" applyFont="1" applyFill="1" applyBorder="1" applyAlignment="1">
      <alignment horizontal="center" vertical="center"/>
    </xf>
    <xf numFmtId="2" fontId="18" fillId="11" borderId="29" xfId="3" applyNumberFormat="1" applyFont="1" applyFill="1" applyBorder="1" applyAlignment="1">
      <alignment horizontal="center" vertical="center"/>
    </xf>
    <xf numFmtId="1" fontId="18" fillId="11" borderId="21" xfId="3" applyNumberFormat="1" applyFont="1" applyFill="1" applyBorder="1" applyAlignment="1">
      <alignment horizontal="center" vertical="center"/>
    </xf>
    <xf numFmtId="7" fontId="18" fillId="11" borderId="21" xfId="3" applyNumberFormat="1" applyFont="1" applyFill="1" applyBorder="1" applyAlignment="1">
      <alignment horizontal="center" vertical="center"/>
    </xf>
    <xf numFmtId="7" fontId="18" fillId="11" borderId="22" xfId="3" applyNumberFormat="1" applyFont="1" applyFill="1" applyBorder="1" applyAlignment="1">
      <alignment horizontal="center" vertical="center"/>
    </xf>
    <xf numFmtId="165" fontId="19" fillId="11" borderId="25" xfId="3" applyNumberFormat="1" applyFont="1" applyFill="1" applyBorder="1" applyAlignment="1">
      <alignment horizontal="center" vertical="center"/>
    </xf>
    <xf numFmtId="0" fontId="0" fillId="5" borderId="8" xfId="0" applyFill="1" applyBorder="1"/>
    <xf numFmtId="0" fontId="5" fillId="2" borderId="21" xfId="3" applyFill="1" applyBorder="1" applyAlignment="1">
      <alignment vertical="center"/>
    </xf>
    <xf numFmtId="2" fontId="18" fillId="2" borderId="21" xfId="3" applyNumberFormat="1" applyFont="1" applyFill="1" applyBorder="1" applyAlignment="1">
      <alignment horizontal="center" vertical="center"/>
    </xf>
    <xf numFmtId="4" fontId="18" fillId="2" borderId="21" xfId="3" applyNumberFormat="1" applyFont="1" applyFill="1" applyBorder="1" applyAlignment="1">
      <alignment horizontal="center" vertical="center"/>
    </xf>
    <xf numFmtId="2" fontId="18" fillId="2" borderId="29" xfId="3" applyNumberFormat="1" applyFont="1" applyFill="1" applyBorder="1" applyAlignment="1">
      <alignment horizontal="center" vertical="center"/>
    </xf>
    <xf numFmtId="1" fontId="18" fillId="2" borderId="21" xfId="3" applyNumberFormat="1" applyFont="1" applyFill="1" applyBorder="1" applyAlignment="1">
      <alignment horizontal="center" vertical="center"/>
    </xf>
    <xf numFmtId="7" fontId="18" fillId="2" borderId="21" xfId="3" applyNumberFormat="1" applyFont="1" applyFill="1" applyBorder="1" applyAlignment="1">
      <alignment horizontal="center" vertical="center"/>
    </xf>
    <xf numFmtId="7" fontId="18" fillId="2" borderId="22" xfId="3" applyNumberFormat="1" applyFont="1" applyFill="1" applyBorder="1" applyAlignment="1">
      <alignment horizontal="center" vertical="center"/>
    </xf>
    <xf numFmtId="165" fontId="19" fillId="2" borderId="25" xfId="3" applyNumberFormat="1" applyFont="1" applyFill="1" applyBorder="1" applyAlignment="1">
      <alignment horizontal="center" vertical="center"/>
    </xf>
    <xf numFmtId="4" fontId="18" fillId="11" borderId="21" xfId="3" applyNumberFormat="1" applyFont="1" applyFill="1" applyBorder="1" applyAlignment="1">
      <alignment horizontal="center" vertical="center"/>
    </xf>
    <xf numFmtId="7" fontId="8" fillId="11" borderId="12" xfId="3" applyNumberFormat="1" applyFont="1" applyFill="1" applyBorder="1" applyAlignment="1">
      <alignment horizontal="center" vertical="center"/>
    </xf>
    <xf numFmtId="0" fontId="0" fillId="0" borderId="3" xfId="0" applyBorder="1" applyAlignment="1">
      <alignment horizontal="left" vertical="center"/>
    </xf>
    <xf numFmtId="10" fontId="0" fillId="0" borderId="3" xfId="2" applyNumberFormat="1" applyFont="1" applyBorder="1" applyAlignment="1">
      <alignment horizontal="center" vertical="center"/>
    </xf>
    <xf numFmtId="7" fontId="0" fillId="0" borderId="3" xfId="0" applyNumberFormat="1" applyBorder="1" applyAlignment="1">
      <alignment horizontal="center" vertical="center"/>
    </xf>
    <xf numFmtId="165" fontId="0" fillId="0" borderId="3" xfId="0" applyNumberFormat="1" applyBorder="1"/>
    <xf numFmtId="2" fontId="4" fillId="0" borderId="0" xfId="0" applyNumberFormat="1" applyFont="1"/>
    <xf numFmtId="165" fontId="0" fillId="0" borderId="8" xfId="0" applyNumberFormat="1" applyBorder="1"/>
    <xf numFmtId="164" fontId="0" fillId="0" borderId="3" xfId="0" applyNumberFormat="1" applyBorder="1" applyAlignment="1">
      <alignment horizontal="left" vertical="center"/>
    </xf>
    <xf numFmtId="165" fontId="0" fillId="0" borderId="5" xfId="0" applyNumberFormat="1" applyBorder="1"/>
    <xf numFmtId="10" fontId="18" fillId="11" borderId="21" xfId="2" applyNumberFormat="1" applyFont="1" applyFill="1" applyBorder="1" applyAlignment="1">
      <alignment horizontal="center" vertical="center"/>
    </xf>
    <xf numFmtId="165" fontId="17" fillId="5" borderId="8" xfId="0" applyNumberFormat="1" applyFont="1" applyFill="1" applyBorder="1"/>
    <xf numFmtId="0" fontId="11" fillId="0" borderId="8" xfId="0" applyFont="1" applyBorder="1"/>
    <xf numFmtId="0" fontId="5" fillId="2" borderId="25" xfId="3" applyFill="1" applyBorder="1" applyAlignment="1">
      <alignment vertical="center"/>
    </xf>
    <xf numFmtId="7" fontId="8" fillId="2" borderId="0" xfId="3" applyNumberFormat="1" applyFont="1" applyFill="1" applyAlignment="1">
      <alignment horizontal="center" vertical="center"/>
    </xf>
    <xf numFmtId="165" fontId="17" fillId="4" borderId="8" xfId="0" applyNumberFormat="1" applyFont="1" applyFill="1" applyBorder="1"/>
    <xf numFmtId="0" fontId="0" fillId="4" borderId="8" xfId="0" applyFill="1" applyBorder="1"/>
    <xf numFmtId="0" fontId="5" fillId="2" borderId="17" xfId="3" applyFill="1" applyBorder="1" applyAlignment="1">
      <alignment vertical="center"/>
    </xf>
    <xf numFmtId="0" fontId="20" fillId="2" borderId="17" xfId="3" applyFont="1" applyFill="1" applyBorder="1" applyAlignment="1">
      <alignment horizontal="center" vertical="center"/>
    </xf>
    <xf numFmtId="7" fontId="0" fillId="2" borderId="8" xfId="0" applyNumberFormat="1" applyFill="1" applyBorder="1"/>
    <xf numFmtId="165" fontId="0" fillId="2" borderId="8" xfId="0" applyNumberFormat="1" applyFill="1" applyBorder="1"/>
    <xf numFmtId="0" fontId="5" fillId="2" borderId="0" xfId="3" applyFill="1" applyAlignment="1">
      <alignment vertical="center"/>
    </xf>
    <xf numFmtId="8" fontId="13" fillId="2" borderId="0" xfId="3" applyNumberFormat="1" applyFont="1" applyFill="1" applyAlignment="1">
      <alignment vertical="center"/>
    </xf>
    <xf numFmtId="7" fontId="0" fillId="2" borderId="0" xfId="1" applyNumberFormat="1" applyFont="1" applyFill="1" applyBorder="1"/>
    <xf numFmtId="0" fontId="11" fillId="5" borderId="8" xfId="0" applyFont="1" applyFill="1" applyBorder="1"/>
    <xf numFmtId="7" fontId="17" fillId="5" borderId="8" xfId="1" applyNumberFormat="1" applyFont="1" applyFill="1" applyBorder="1"/>
    <xf numFmtId="0" fontId="5" fillId="4" borderId="15" xfId="3" applyFill="1" applyBorder="1" applyAlignment="1">
      <alignment vertical="center"/>
    </xf>
    <xf numFmtId="0" fontId="5" fillId="4" borderId="21" xfId="3" applyFill="1" applyBorder="1" applyAlignment="1">
      <alignment vertical="center"/>
    </xf>
    <xf numFmtId="8" fontId="13" fillId="4" borderId="21" xfId="3" applyNumberFormat="1" applyFont="1" applyFill="1" applyBorder="1" applyAlignment="1">
      <alignment vertical="center"/>
    </xf>
    <xf numFmtId="165" fontId="10" fillId="4" borderId="15" xfId="3" applyNumberFormat="1" applyFont="1" applyFill="1" applyBorder="1" applyAlignment="1">
      <alignment horizontal="center" vertical="center"/>
    </xf>
    <xf numFmtId="165" fontId="0" fillId="0" borderId="0" xfId="0" applyNumberFormat="1"/>
    <xf numFmtId="7" fontId="0" fillId="4" borderId="8" xfId="0" applyNumberFormat="1" applyFill="1" applyBorder="1"/>
    <xf numFmtId="165" fontId="10" fillId="2" borderId="0" xfId="3" applyNumberFormat="1" applyFont="1" applyFill="1" applyAlignment="1">
      <alignment horizontal="center" vertical="center"/>
    </xf>
    <xf numFmtId="165" fontId="10" fillId="2" borderId="0" xfId="3" applyNumberFormat="1" applyFont="1" applyFill="1" applyAlignment="1">
      <alignment horizontal="right" vertical="center" indent="1"/>
    </xf>
    <xf numFmtId="165" fontId="0" fillId="2" borderId="0" xfId="0" applyNumberFormat="1" applyFill="1"/>
    <xf numFmtId="0" fontId="3" fillId="12" borderId="3" xfId="0" applyFont="1" applyFill="1" applyBorder="1"/>
    <xf numFmtId="0" fontId="0" fillId="12" borderId="3" xfId="0" applyFill="1" applyBorder="1"/>
    <xf numFmtId="4" fontId="0" fillId="12" borderId="3" xfId="0" applyNumberFormat="1" applyFill="1" applyBorder="1"/>
    <xf numFmtId="4" fontId="17" fillId="12" borderId="3" xfId="0" applyNumberFormat="1" applyFont="1" applyFill="1" applyBorder="1" applyAlignment="1">
      <alignment horizontal="center"/>
    </xf>
    <xf numFmtId="0" fontId="0" fillId="12" borderId="0" xfId="0" applyFill="1"/>
    <xf numFmtId="7" fontId="0" fillId="2" borderId="3" xfId="1" applyNumberFormat="1" applyFont="1" applyFill="1" applyBorder="1"/>
    <xf numFmtId="4" fontId="0" fillId="2" borderId="1" xfId="0" applyNumberFormat="1" applyFill="1" applyBorder="1"/>
    <xf numFmtId="172" fontId="0" fillId="2" borderId="3" xfId="1" applyNumberFormat="1" applyFont="1" applyFill="1" applyBorder="1" applyAlignment="1">
      <alignment horizontal="center" vertical="center"/>
    </xf>
    <xf numFmtId="0" fontId="0" fillId="0" borderId="3" xfId="0" applyBorder="1" applyAlignment="1">
      <alignment horizontal="center" vertical="center"/>
    </xf>
    <xf numFmtId="165" fontId="0" fillId="0" borderId="1" xfId="0" applyNumberFormat="1" applyBorder="1" applyAlignment="1">
      <alignment horizontal="right"/>
    </xf>
    <xf numFmtId="0" fontId="0" fillId="0" borderId="5" xfId="0" applyBorder="1" applyAlignment="1">
      <alignment horizontal="center" vertical="center"/>
    </xf>
    <xf numFmtId="0" fontId="3" fillId="12" borderId="21" xfId="0" applyFont="1" applyFill="1" applyBorder="1"/>
    <xf numFmtId="0" fontId="3" fillId="12" borderId="22" xfId="0" applyFont="1" applyFill="1" applyBorder="1"/>
    <xf numFmtId="0" fontId="3" fillId="12" borderId="0" xfId="0" applyFont="1" applyFill="1"/>
    <xf numFmtId="165" fontId="22" fillId="12" borderId="11" xfId="0" applyNumberFormat="1" applyFont="1" applyFill="1" applyBorder="1"/>
    <xf numFmtId="165" fontId="3" fillId="12" borderId="21" xfId="0" applyNumberFormat="1" applyFont="1" applyFill="1" applyBorder="1"/>
    <xf numFmtId="0" fontId="3" fillId="2" borderId="0" xfId="0" applyFont="1" applyFill="1"/>
    <xf numFmtId="165" fontId="22" fillId="2" borderId="0" xfId="0" applyNumberFormat="1" applyFont="1" applyFill="1"/>
    <xf numFmtId="165" fontId="3" fillId="2" borderId="0" xfId="0" applyNumberFormat="1" applyFont="1" applyFill="1"/>
    <xf numFmtId="0" fontId="0" fillId="9" borderId="11" xfId="0" applyFill="1" applyBorder="1"/>
    <xf numFmtId="0" fontId="0" fillId="9" borderId="11" xfId="0" applyFill="1" applyBorder="1" applyAlignment="1">
      <alignment horizontal="center" vertical="center"/>
    </xf>
    <xf numFmtId="165" fontId="0" fillId="9" borderId="11" xfId="0" applyNumberFormat="1" applyFill="1" applyBorder="1"/>
    <xf numFmtId="165" fontId="0" fillId="9" borderId="11" xfId="0" applyNumberFormat="1" applyFill="1" applyBorder="1" applyAlignment="1">
      <alignment horizontal="right"/>
    </xf>
    <xf numFmtId="165" fontId="3" fillId="9" borderId="11" xfId="0" applyNumberFormat="1" applyFont="1" applyFill="1" applyBorder="1" applyAlignment="1">
      <alignment horizontal="center"/>
    </xf>
    <xf numFmtId="0" fontId="0" fillId="0" borderId="17" xfId="0" applyBorder="1"/>
    <xf numFmtId="165" fontId="0" fillId="0" borderId="17" xfId="0" applyNumberFormat="1" applyBorder="1"/>
    <xf numFmtId="165" fontId="0" fillId="0" borderId="19" xfId="0" applyNumberFormat="1" applyBorder="1" applyAlignment="1">
      <alignment horizontal="right"/>
    </xf>
    <xf numFmtId="165" fontId="0" fillId="0" borderId="4" xfId="0" applyNumberFormat="1" applyBorder="1" applyAlignment="1">
      <alignment horizontal="right"/>
    </xf>
    <xf numFmtId="9" fontId="0" fillId="0" borderId="3" xfId="0" applyNumberFormat="1" applyBorder="1"/>
    <xf numFmtId="0" fontId="0" fillId="9" borderId="25" xfId="0" applyFill="1" applyBorder="1"/>
    <xf numFmtId="0" fontId="0" fillId="9" borderId="25" xfId="0" applyFill="1" applyBorder="1" applyAlignment="1">
      <alignment horizontal="center" vertical="center"/>
    </xf>
    <xf numFmtId="165" fontId="0" fillId="9" borderId="25" xfId="0" applyNumberFormat="1" applyFill="1" applyBorder="1"/>
    <xf numFmtId="165" fontId="0" fillId="9" borderId="24" xfId="0" applyNumberFormat="1" applyFill="1" applyBorder="1" applyAlignment="1">
      <alignment horizontal="right"/>
    </xf>
    <xf numFmtId="165" fontId="3" fillId="9" borderId="15" xfId="0" applyNumberFormat="1" applyFont="1" applyFill="1" applyBorder="1" applyAlignment="1">
      <alignment horizontal="right"/>
    </xf>
    <xf numFmtId="0" fontId="8" fillId="4" borderId="3" xfId="3" applyFont="1" applyFill="1" applyBorder="1" applyAlignment="1">
      <alignment vertical="center"/>
    </xf>
    <xf numFmtId="165" fontId="10" fillId="4" borderId="10" xfId="3" applyNumberFormat="1" applyFont="1" applyFill="1" applyBorder="1" applyAlignment="1">
      <alignment horizontal="center" vertical="center"/>
    </xf>
    <xf numFmtId="165" fontId="10" fillId="4" borderId="15" xfId="3" applyNumberFormat="1" applyFont="1" applyFill="1" applyBorder="1" applyAlignment="1">
      <alignment horizontal="right" vertical="center"/>
    </xf>
    <xf numFmtId="165" fontId="8" fillId="4" borderId="3" xfId="3" applyNumberFormat="1" applyFont="1" applyFill="1" applyBorder="1" applyAlignment="1">
      <alignment vertical="center"/>
    </xf>
    <xf numFmtId="0" fontId="0" fillId="13" borderId="8" xfId="0" applyFill="1" applyBorder="1"/>
    <xf numFmtId="0" fontId="0" fillId="13" borderId="8" xfId="0" applyFill="1" applyBorder="1" applyAlignment="1">
      <alignment horizontal="center" vertical="center"/>
    </xf>
    <xf numFmtId="165" fontId="0" fillId="13" borderId="8" xfId="0" applyNumberFormat="1" applyFill="1" applyBorder="1"/>
    <xf numFmtId="0" fontId="0" fillId="13" borderId="0" xfId="0" applyFill="1"/>
    <xf numFmtId="7" fontId="3" fillId="13" borderId="0" xfId="1" applyNumberFormat="1" applyFont="1" applyFill="1" applyBorder="1" applyAlignment="1">
      <alignment horizontal="center"/>
    </xf>
    <xf numFmtId="7" fontId="3" fillId="13" borderId="0" xfId="1" applyNumberFormat="1" applyFont="1" applyFill="1" applyBorder="1" applyAlignment="1">
      <alignment horizontal="right"/>
    </xf>
    <xf numFmtId="165" fontId="23" fillId="13" borderId="3" xfId="0" applyNumberFormat="1" applyFont="1" applyFill="1" applyBorder="1"/>
    <xf numFmtId="0" fontId="5" fillId="7" borderId="33" xfId="3" applyFill="1" applyBorder="1" applyAlignment="1">
      <alignment vertical="center"/>
    </xf>
    <xf numFmtId="0" fontId="5" fillId="7" borderId="25" xfId="3" applyFill="1" applyBorder="1" applyAlignment="1">
      <alignment vertical="center"/>
    </xf>
    <xf numFmtId="165" fontId="8" fillId="7" borderId="25" xfId="3" applyNumberFormat="1" applyFont="1" applyFill="1" applyBorder="1" applyAlignment="1">
      <alignment horizontal="center" vertical="center"/>
    </xf>
    <xf numFmtId="165" fontId="3" fillId="2" borderId="0" xfId="0" applyNumberFormat="1" applyFont="1" applyFill="1" applyAlignment="1">
      <alignment horizontal="center" vertical="center"/>
    </xf>
    <xf numFmtId="7" fontId="0" fillId="0" borderId="3" xfId="0" applyNumberFormat="1" applyBorder="1"/>
    <xf numFmtId="7" fontId="0" fillId="0" borderId="1" xfId="0" applyNumberFormat="1" applyBorder="1" applyAlignment="1">
      <alignment horizontal="center" vertical="center"/>
    </xf>
    <xf numFmtId="7" fontId="0" fillId="0" borderId="3" xfId="1" applyNumberFormat="1" applyFont="1" applyBorder="1"/>
    <xf numFmtId="0" fontId="0" fillId="0" borderId="0" xfId="0" applyAlignment="1">
      <alignment horizontal="center" vertical="center"/>
    </xf>
    <xf numFmtId="7" fontId="0" fillId="0" borderId="8" xfId="0" applyNumberFormat="1" applyBorder="1"/>
    <xf numFmtId="0" fontId="0" fillId="0" borderId="2" xfId="0" applyBorder="1"/>
    <xf numFmtId="7" fontId="0" fillId="0" borderId="2" xfId="0" applyNumberFormat="1" applyBorder="1"/>
    <xf numFmtId="7" fontId="0" fillId="0" borderId="2" xfId="0" applyNumberFormat="1" applyBorder="1" applyAlignment="1">
      <alignment horizontal="center" vertical="center"/>
    </xf>
    <xf numFmtId="0" fontId="0" fillId="13" borderId="34" xfId="0" applyFill="1" applyBorder="1"/>
    <xf numFmtId="7" fontId="0" fillId="13" borderId="34" xfId="0" applyNumberFormat="1" applyFill="1" applyBorder="1" applyAlignment="1">
      <alignment horizontal="center" vertical="center"/>
    </xf>
    <xf numFmtId="7" fontId="3" fillId="13" borderId="34" xfId="0" applyNumberFormat="1" applyFont="1" applyFill="1" applyBorder="1" applyAlignment="1">
      <alignment horizontal="right" vertical="center"/>
    </xf>
    <xf numFmtId="165" fontId="0" fillId="0" borderId="0" xfId="0" applyNumberFormat="1" applyAlignment="1">
      <alignment horizontal="center" vertical="center"/>
    </xf>
    <xf numFmtId="4" fontId="0" fillId="13" borderId="8" xfId="0" applyNumberFormat="1" applyFill="1" applyBorder="1"/>
    <xf numFmtId="0" fontId="0" fillId="14" borderId="7" xfId="0" applyFill="1" applyBorder="1"/>
    <xf numFmtId="7" fontId="0" fillId="14" borderId="7" xfId="0" applyNumberFormat="1" applyFill="1" applyBorder="1" applyAlignment="1">
      <alignment horizontal="center" vertical="center"/>
    </xf>
    <xf numFmtId="7" fontId="15" fillId="14" borderId="7" xfId="1" applyNumberFormat="1" applyFont="1" applyFill="1" applyBorder="1"/>
    <xf numFmtId="165" fontId="0" fillId="14" borderId="15" xfId="0" applyNumberFormat="1" applyFill="1" applyBorder="1" applyAlignment="1">
      <alignment horizontal="center" vertical="center"/>
    </xf>
    <xf numFmtId="165" fontId="0" fillId="14" borderId="21" xfId="0" applyNumberFormat="1" applyFill="1" applyBorder="1" applyAlignment="1">
      <alignment horizontal="center" vertical="center"/>
    </xf>
    <xf numFmtId="165" fontId="0" fillId="14" borderId="22" xfId="0" applyNumberFormat="1" applyFill="1" applyBorder="1" applyAlignment="1">
      <alignment horizontal="center" vertical="center"/>
    </xf>
    <xf numFmtId="9" fontId="0" fillId="0" borderId="0" xfId="0" applyNumberFormat="1"/>
    <xf numFmtId="7" fontId="0" fillId="0" borderId="0" xfId="0" applyNumberFormat="1" applyAlignment="1">
      <alignment horizontal="center" vertical="center"/>
    </xf>
    <xf numFmtId="0" fontId="0" fillId="15" borderId="2" xfId="0" applyFill="1" applyBorder="1"/>
    <xf numFmtId="7" fontId="23" fillId="15" borderId="2" xfId="0" applyNumberFormat="1" applyFont="1" applyFill="1" applyBorder="1" applyAlignment="1">
      <alignment horizontal="center" vertical="center"/>
    </xf>
    <xf numFmtId="7" fontId="3" fillId="15" borderId="2" xfId="0" applyNumberFormat="1" applyFont="1" applyFill="1" applyBorder="1"/>
    <xf numFmtId="165" fontId="17" fillId="0" borderId="0" xfId="0" applyNumberFormat="1" applyFont="1"/>
    <xf numFmtId="164" fontId="16" fillId="0" borderId="0" xfId="1" applyFont="1"/>
    <xf numFmtId="174" fontId="0" fillId="0" borderId="0" xfId="0" applyNumberFormat="1"/>
    <xf numFmtId="165" fontId="2" fillId="0" borderId="0" xfId="0" applyNumberFormat="1" applyFont="1"/>
    <xf numFmtId="173" fontId="0" fillId="0" borderId="0" xfId="0" applyNumberFormat="1"/>
    <xf numFmtId="4" fontId="0" fillId="0" borderId="0" xfId="0" applyNumberFormat="1"/>
    <xf numFmtId="0" fontId="3" fillId="0" borderId="0" xfId="0" applyFont="1" applyAlignment="1">
      <alignment horizontal="center" vertical="center"/>
    </xf>
    <xf numFmtId="1" fontId="0" fillId="0" borderId="0" xfId="0" applyNumberFormat="1"/>
    <xf numFmtId="7" fontId="0" fillId="0" borderId="0" xfId="1" applyNumberFormat="1" applyFont="1"/>
    <xf numFmtId="164" fontId="0" fillId="0" borderId="0" xfId="1" applyFont="1"/>
    <xf numFmtId="9" fontId="0" fillId="0" borderId="0" xfId="2" applyFont="1"/>
    <xf numFmtId="10" fontId="0" fillId="0" borderId="0" xfId="2" applyNumberFormat="1" applyFont="1"/>
    <xf numFmtId="168" fontId="0" fillId="0" borderId="0" xfId="0" applyNumberFormat="1"/>
    <xf numFmtId="175" fontId="0" fillId="0" borderId="0" xfId="0" applyNumberFormat="1"/>
    <xf numFmtId="0" fontId="0" fillId="0" borderId="0" xfId="0" applyAlignment="1">
      <alignment horizontal="left" vertical="top"/>
    </xf>
    <xf numFmtId="165" fontId="0" fillId="0" borderId="0" xfId="1" applyNumberFormat="1" applyFont="1"/>
    <xf numFmtId="165" fontId="3" fillId="0" borderId="0" xfId="0" applyNumberFormat="1" applyFont="1"/>
    <xf numFmtId="167" fontId="0" fillId="0" borderId="0" xfId="2" applyNumberFormat="1" applyFont="1"/>
    <xf numFmtId="164" fontId="0" fillId="0" borderId="0" xfId="0" applyNumberFormat="1"/>
    <xf numFmtId="176" fontId="0" fillId="0" borderId="0" xfId="0" applyNumberFormat="1"/>
    <xf numFmtId="166" fontId="0" fillId="0" borderId="1" xfId="1" applyNumberFormat="1" applyFont="1" applyBorder="1" applyAlignment="1">
      <alignment horizontal="center" vertical="center" wrapText="1"/>
    </xf>
    <xf numFmtId="166" fontId="0" fillId="0" borderId="14" xfId="1" applyNumberFormat="1" applyFont="1" applyBorder="1" applyAlignment="1">
      <alignment horizontal="center" vertical="center" wrapText="1"/>
    </xf>
    <xf numFmtId="177" fontId="0" fillId="0" borderId="3" xfId="1" applyNumberFormat="1" applyFont="1" applyBorder="1" applyAlignment="1">
      <alignment horizontal="center" vertical="center"/>
    </xf>
    <xf numFmtId="0" fontId="26" fillId="0" borderId="0" xfId="0" applyFont="1" applyAlignment="1">
      <alignment vertical="center"/>
    </xf>
    <xf numFmtId="6" fontId="0" fillId="0" borderId="0" xfId="0" applyNumberFormat="1"/>
    <xf numFmtId="0" fontId="27" fillId="0" borderId="0" xfId="0" applyFont="1"/>
    <xf numFmtId="0" fontId="28" fillId="0" borderId="0" xfId="0" applyFont="1"/>
    <xf numFmtId="6" fontId="29" fillId="0" borderId="0" xfId="0" applyNumberFormat="1" applyFont="1"/>
    <xf numFmtId="0" fontId="29" fillId="0" borderId="0" xfId="0" applyFont="1"/>
    <xf numFmtId="6" fontId="2" fillId="0" borderId="0" xfId="0" applyNumberFormat="1" applyFont="1"/>
    <xf numFmtId="164" fontId="30" fillId="0" borderId="5" xfId="1" applyFont="1" applyBorder="1"/>
    <xf numFmtId="164" fontId="31" fillId="0" borderId="5" xfId="1" applyFont="1" applyBorder="1"/>
    <xf numFmtId="0" fontId="30" fillId="0" borderId="0" xfId="0" applyFont="1"/>
    <xf numFmtId="0" fontId="31" fillId="0" borderId="3" xfId="0" applyFont="1" applyBorder="1"/>
    <xf numFmtId="0" fontId="31" fillId="0" borderId="5" xfId="0" applyFont="1" applyBorder="1"/>
    <xf numFmtId="0" fontId="30" fillId="8" borderId="15" xfId="0" applyFont="1" applyFill="1" applyBorder="1"/>
    <xf numFmtId="0" fontId="31" fillId="0" borderId="17" xfId="0" applyFont="1" applyBorder="1"/>
    <xf numFmtId="0" fontId="31" fillId="8" borderId="28" xfId="0" applyFont="1" applyFill="1" applyBorder="1" applyAlignment="1">
      <alignment horizontal="center" vertical="center"/>
    </xf>
    <xf numFmtId="0" fontId="31" fillId="6" borderId="11" xfId="0" applyFont="1" applyFill="1" applyBorder="1" applyAlignment="1">
      <alignment horizontal="left" vertical="center"/>
    </xf>
    <xf numFmtId="164" fontId="31" fillId="0" borderId="17" xfId="1" applyFont="1" applyBorder="1"/>
    <xf numFmtId="164" fontId="31" fillId="0" borderId="3" xfId="1" applyFont="1" applyBorder="1"/>
    <xf numFmtId="0" fontId="32" fillId="11" borderId="15" xfId="3" applyFont="1" applyFill="1" applyBorder="1" applyAlignment="1">
      <alignment horizontal="left" vertical="center"/>
    </xf>
    <xf numFmtId="0" fontId="33" fillId="2" borderId="15" xfId="3" applyFont="1" applyFill="1" applyBorder="1" applyAlignment="1">
      <alignment horizontal="left" vertical="center"/>
    </xf>
    <xf numFmtId="0" fontId="30" fillId="0" borderId="3" xfId="0" applyFont="1" applyBorder="1" applyAlignment="1">
      <alignment horizontal="left" vertical="center"/>
    </xf>
    <xf numFmtId="0" fontId="33" fillId="4" borderId="15" xfId="3" applyFont="1" applyFill="1" applyBorder="1" applyAlignment="1">
      <alignment horizontal="left" vertical="center"/>
    </xf>
    <xf numFmtId="0" fontId="33" fillId="2" borderId="0" xfId="3" applyFont="1" applyFill="1" applyAlignment="1">
      <alignment horizontal="left" vertical="center"/>
    </xf>
    <xf numFmtId="0" fontId="31" fillId="12" borderId="3" xfId="0" applyFont="1" applyFill="1" applyBorder="1"/>
    <xf numFmtId="0" fontId="30" fillId="2" borderId="3" xfId="0" applyFont="1" applyFill="1" applyBorder="1"/>
    <xf numFmtId="0" fontId="30" fillId="0" borderId="3" xfId="0" applyFont="1" applyBorder="1"/>
    <xf numFmtId="0" fontId="30" fillId="0" borderId="5" xfId="0" applyFont="1" applyBorder="1"/>
    <xf numFmtId="0" fontId="31" fillId="12" borderId="15" xfId="0" applyFont="1" applyFill="1" applyBorder="1"/>
    <xf numFmtId="0" fontId="31" fillId="2" borderId="0" xfId="0" applyFont="1" applyFill="1"/>
    <xf numFmtId="0" fontId="31" fillId="13" borderId="31" xfId="0" applyFont="1" applyFill="1" applyBorder="1"/>
    <xf numFmtId="0" fontId="33" fillId="7" borderId="32" xfId="3" applyFont="1" applyFill="1" applyBorder="1" applyAlignment="1">
      <alignment vertical="center"/>
    </xf>
    <xf numFmtId="0" fontId="30" fillId="0" borderId="3" xfId="0" applyFont="1" applyBorder="1" applyAlignment="1">
      <alignment wrapText="1"/>
    </xf>
    <xf numFmtId="0" fontId="30" fillId="0" borderId="1" xfId="0" applyFont="1" applyBorder="1"/>
    <xf numFmtId="0" fontId="31" fillId="13" borderId="9" xfId="0" applyFont="1" applyFill="1" applyBorder="1"/>
    <xf numFmtId="0" fontId="30" fillId="14" borderId="6" xfId="0" applyFont="1" applyFill="1" applyBorder="1"/>
    <xf numFmtId="0" fontId="31" fillId="15" borderId="1" xfId="0" applyFont="1" applyFill="1" applyBorder="1" applyAlignment="1">
      <alignment horizontal="center" vertical="center"/>
    </xf>
    <xf numFmtId="0" fontId="35" fillId="0" borderId="0" xfId="0" applyFont="1" applyAlignment="1">
      <alignment vertical="center"/>
    </xf>
    <xf numFmtId="0" fontId="36" fillId="0" borderId="0" xfId="0" applyFont="1" applyAlignment="1">
      <alignment vertical="center"/>
    </xf>
    <xf numFmtId="4" fontId="3" fillId="0" borderId="0" xfId="0" applyNumberFormat="1" applyFont="1"/>
    <xf numFmtId="171" fontId="0" fillId="0" borderId="3" xfId="1" applyNumberFormat="1" applyFont="1" applyBorder="1" applyAlignment="1">
      <alignment horizontal="center" vertical="center"/>
    </xf>
    <xf numFmtId="7" fontId="3" fillId="0" borderId="3" xfId="1" applyNumberFormat="1" applyFont="1" applyBorder="1" applyAlignment="1">
      <alignment horizontal="center" vertical="center"/>
    </xf>
    <xf numFmtId="7" fontId="8" fillId="2" borderId="36" xfId="3" applyNumberFormat="1" applyFont="1" applyFill="1" applyBorder="1" applyAlignment="1">
      <alignment horizontal="center" vertical="center"/>
    </xf>
    <xf numFmtId="0" fontId="3" fillId="2" borderId="37" xfId="0" applyFont="1" applyFill="1" applyBorder="1" applyAlignment="1">
      <alignment horizontal="left" vertical="center"/>
    </xf>
    <xf numFmtId="0" fontId="21" fillId="2" borderId="37" xfId="0" applyFont="1" applyFill="1" applyBorder="1" applyAlignment="1">
      <alignment horizontal="left" vertical="center"/>
    </xf>
    <xf numFmtId="0" fontId="21" fillId="2" borderId="37" xfId="0" applyFont="1" applyFill="1" applyBorder="1" applyAlignment="1">
      <alignment horizontal="center" vertical="center"/>
    </xf>
    <xf numFmtId="0" fontId="0" fillId="2" borderId="37" xfId="0" applyFill="1" applyBorder="1" applyAlignment="1">
      <alignment horizontal="center" vertical="center"/>
    </xf>
    <xf numFmtId="0" fontId="3" fillId="2" borderId="26" xfId="0" applyFont="1" applyFill="1" applyBorder="1" applyAlignment="1">
      <alignment horizontal="left" vertical="center"/>
    </xf>
    <xf numFmtId="0" fontId="5" fillId="2" borderId="3" xfId="3" applyFill="1" applyBorder="1" applyAlignment="1">
      <alignment vertical="center"/>
    </xf>
    <xf numFmtId="165" fontId="5" fillId="2" borderId="8" xfId="3" applyNumberFormat="1" applyFill="1" applyBorder="1" applyAlignment="1">
      <alignment horizontal="center" vertical="center"/>
    </xf>
    <xf numFmtId="0" fontId="0" fillId="0" borderId="17" xfId="0" applyBorder="1" applyAlignment="1">
      <alignment horizontal="center" vertical="center"/>
    </xf>
    <xf numFmtId="0" fontId="3" fillId="0" borderId="0" xfId="0" applyFont="1"/>
    <xf numFmtId="0" fontId="16" fillId="0" borderId="0" xfId="0" applyFont="1" applyAlignment="1">
      <alignment horizontal="center" vertical="center"/>
    </xf>
    <xf numFmtId="171" fontId="0" fillId="2" borderId="3" xfId="1" applyNumberFormat="1" applyFont="1" applyFill="1" applyBorder="1"/>
    <xf numFmtId="0" fontId="37" fillId="0" borderId="0" xfId="23"/>
    <xf numFmtId="0" fontId="40" fillId="0" borderId="0" xfId="0" applyFont="1" applyAlignment="1">
      <alignment vertical="center"/>
    </xf>
    <xf numFmtId="0" fontId="40" fillId="0" borderId="0" xfId="0" applyFont="1"/>
    <xf numFmtId="165" fontId="41" fillId="0" borderId="0" xfId="0" applyNumberFormat="1" applyFont="1" applyAlignment="1">
      <alignment horizontal="center" vertical="center"/>
    </xf>
    <xf numFmtId="7" fontId="5" fillId="2" borderId="0" xfId="3" applyNumberFormat="1" applyFill="1" applyAlignment="1">
      <alignment horizontal="right" vertical="center"/>
    </xf>
    <xf numFmtId="2" fontId="0" fillId="0" borderId="0" xfId="0" applyNumberFormat="1"/>
    <xf numFmtId="0" fontId="0" fillId="12" borderId="3" xfId="0" applyFill="1" applyBorder="1" applyAlignment="1">
      <alignment horizontal="center" vertical="center"/>
    </xf>
    <xf numFmtId="0" fontId="0" fillId="2" borderId="3" xfId="0" applyFill="1" applyBorder="1" applyAlignment="1">
      <alignment horizontal="center" vertical="center"/>
    </xf>
    <xf numFmtId="7" fontId="0" fillId="0" borderId="17" xfId="1" applyNumberFormat="1" applyFont="1" applyBorder="1" applyAlignment="1">
      <alignment horizontal="right" vertical="center"/>
    </xf>
    <xf numFmtId="7" fontId="0" fillId="0" borderId="3" xfId="1" applyNumberFormat="1" applyFont="1" applyBorder="1" applyAlignment="1">
      <alignment horizontal="right" vertical="center"/>
    </xf>
    <xf numFmtId="7" fontId="0" fillId="0" borderId="5" xfId="1" applyNumberFormat="1" applyFont="1" applyBorder="1" applyAlignment="1">
      <alignment horizontal="right" vertical="center"/>
    </xf>
    <xf numFmtId="7" fontId="30" fillId="0" borderId="17" xfId="1" applyNumberFormat="1" applyFont="1" applyBorder="1" applyAlignment="1">
      <alignment horizontal="right"/>
    </xf>
    <xf numFmtId="165" fontId="8" fillId="11" borderId="11" xfId="3" applyNumberFormat="1" applyFont="1" applyFill="1" applyBorder="1" applyAlignment="1">
      <alignment horizontal="center" vertical="center"/>
    </xf>
    <xf numFmtId="0" fontId="31" fillId="2" borderId="37" xfId="0" applyFont="1" applyFill="1" applyBorder="1" applyAlignment="1">
      <alignment horizontal="left" vertical="center"/>
    </xf>
    <xf numFmtId="10" fontId="18" fillId="11" borderId="21" xfId="3" applyNumberFormat="1" applyFont="1" applyFill="1" applyBorder="1" applyAlignment="1">
      <alignment horizontal="center" vertical="center"/>
    </xf>
    <xf numFmtId="165" fontId="19" fillId="11" borderId="21" xfId="3" applyNumberFormat="1" applyFont="1" applyFill="1" applyBorder="1" applyAlignment="1">
      <alignment horizontal="center" vertical="center"/>
    </xf>
    <xf numFmtId="0" fontId="32" fillId="2" borderId="38" xfId="3" applyFont="1" applyFill="1" applyBorder="1" applyAlignment="1">
      <alignment horizontal="left" vertical="center"/>
    </xf>
    <xf numFmtId="0" fontId="32" fillId="2" borderId="17" xfId="3" applyFont="1" applyFill="1" applyBorder="1" applyAlignment="1">
      <alignment horizontal="left" vertical="center"/>
    </xf>
    <xf numFmtId="0" fontId="20" fillId="2" borderId="3" xfId="3" applyFont="1" applyFill="1" applyBorder="1" applyAlignment="1">
      <alignment horizontal="center" vertical="center"/>
    </xf>
    <xf numFmtId="0" fontId="5" fillId="2" borderId="3" xfId="3" applyFill="1" applyBorder="1" applyAlignment="1">
      <alignment horizontal="center" vertical="center"/>
    </xf>
    <xf numFmtId="8" fontId="13" fillId="2" borderId="3" xfId="3" applyNumberFormat="1" applyFont="1" applyFill="1" applyBorder="1" applyAlignment="1">
      <alignment vertical="center"/>
    </xf>
    <xf numFmtId="165" fontId="12" fillId="2" borderId="3" xfId="3" applyNumberFormat="1" applyFont="1" applyFill="1" applyBorder="1" applyAlignment="1">
      <alignment horizontal="center" vertical="center"/>
    </xf>
    <xf numFmtId="10" fontId="0" fillId="0" borderId="2" xfId="0" applyNumberFormat="1" applyBorder="1"/>
    <xf numFmtId="10" fontId="0" fillId="0" borderId="3" xfId="0" applyNumberFormat="1" applyBorder="1"/>
    <xf numFmtId="0" fontId="0" fillId="0" borderId="0" xfId="0" applyAlignment="1">
      <alignment horizontal="center"/>
    </xf>
    <xf numFmtId="9" fontId="23" fillId="0" borderId="11" xfId="2" applyFont="1" applyBorder="1" applyAlignment="1">
      <alignment horizontal="center"/>
    </xf>
    <xf numFmtId="44" fontId="23" fillId="0" borderId="11" xfId="24" applyFont="1" applyBorder="1"/>
    <xf numFmtId="44" fontId="23" fillId="0" borderId="22" xfId="24" applyFont="1" applyBorder="1"/>
    <xf numFmtId="0" fontId="43" fillId="17" borderId="11" xfId="0" applyFont="1" applyFill="1" applyBorder="1"/>
    <xf numFmtId="0" fontId="23" fillId="0" borderId="11" xfId="0" applyFont="1" applyBorder="1"/>
    <xf numFmtId="0" fontId="34" fillId="0" borderId="37" xfId="0" applyFont="1" applyBorder="1"/>
    <xf numFmtId="0" fontId="23" fillId="0" borderId="0" xfId="0" quotePrefix="1" applyFont="1" applyAlignment="1">
      <alignment horizontal="center"/>
    </xf>
    <xf numFmtId="0" fontId="44" fillId="18" borderId="11" xfId="0" applyFont="1" applyFill="1" applyBorder="1" applyAlignment="1">
      <alignment horizontal="center"/>
    </xf>
    <xf numFmtId="0" fontId="34" fillId="0" borderId="0" xfId="0" applyFont="1"/>
    <xf numFmtId="0" fontId="34" fillId="0" borderId="0" xfId="0" applyFont="1" applyAlignment="1">
      <alignment horizontal="center"/>
    </xf>
    <xf numFmtId="0" fontId="23" fillId="0" borderId="0" xfId="0" applyFont="1"/>
    <xf numFmtId="9" fontId="3" fillId="0" borderId="0" xfId="2" applyFont="1" applyBorder="1" applyAlignment="1">
      <alignment horizontal="center"/>
    </xf>
    <xf numFmtId="44" fontId="3" fillId="0" borderId="0" xfId="24" applyFont="1" applyBorder="1"/>
    <xf numFmtId="0" fontId="3" fillId="0" borderId="0" xfId="0" applyFont="1" applyAlignment="1">
      <alignment horizontal="center"/>
    </xf>
    <xf numFmtId="0" fontId="2" fillId="0" borderId="3" xfId="0" applyFont="1" applyBorder="1"/>
    <xf numFmtId="9" fontId="0" fillId="0" borderId="3" xfId="2" applyFont="1" applyBorder="1" applyAlignment="1">
      <alignment horizontal="center"/>
    </xf>
    <xf numFmtId="44" fontId="0" fillId="0" borderId="3" xfId="24" applyFont="1" applyBorder="1"/>
    <xf numFmtId="0" fontId="0" fillId="0" borderId="35" xfId="0" applyBorder="1"/>
    <xf numFmtId="0" fontId="0" fillId="0" borderId="39" xfId="0" applyBorder="1"/>
    <xf numFmtId="0" fontId="4" fillId="18" borderId="11" xfId="0" applyFont="1" applyFill="1" applyBorder="1" applyAlignment="1">
      <alignment horizontal="center"/>
    </xf>
    <xf numFmtId="0" fontId="17" fillId="17" borderId="11" xfId="0" applyFont="1" applyFill="1" applyBorder="1"/>
    <xf numFmtId="0" fontId="3" fillId="0" borderId="11" xfId="0" applyFont="1" applyBorder="1"/>
    <xf numFmtId="10" fontId="0" fillId="0" borderId="3" xfId="2" applyNumberFormat="1" applyFont="1" applyBorder="1" applyAlignment="1">
      <alignment horizontal="center"/>
    </xf>
    <xf numFmtId="0" fontId="17" fillId="19" borderId="40" xfId="0" applyFont="1" applyFill="1" applyBorder="1"/>
    <xf numFmtId="0" fontId="45" fillId="0" borderId="0" xfId="0" applyFont="1"/>
    <xf numFmtId="0" fontId="45" fillId="0" borderId="0" xfId="0" applyFont="1" applyAlignment="1">
      <alignment horizontal="center"/>
    </xf>
    <xf numFmtId="44" fontId="11" fillId="21" borderId="4" xfId="25" applyNumberFormat="1" applyFont="1" applyFill="1" applyBorder="1"/>
    <xf numFmtId="44" fontId="0" fillId="21" borderId="4" xfId="24" applyFont="1" applyFill="1" applyBorder="1"/>
    <xf numFmtId="44" fontId="3" fillId="0" borderId="37" xfId="24" applyFont="1" applyBorder="1"/>
    <xf numFmtId="9" fontId="0" fillId="0" borderId="1" xfId="2" applyFont="1" applyBorder="1" applyAlignment="1">
      <alignment horizontal="center"/>
    </xf>
    <xf numFmtId="9" fontId="3" fillId="0" borderId="26" xfId="2" applyFont="1" applyBorder="1" applyAlignment="1">
      <alignment horizontal="center"/>
    </xf>
    <xf numFmtId="0" fontId="3" fillId="0" borderId="3" xfId="0" applyFont="1" applyBorder="1"/>
    <xf numFmtId="7" fontId="0" fillId="0" borderId="13" xfId="1" applyNumberFormat="1" applyFont="1" applyBorder="1" applyAlignment="1">
      <alignment horizontal="right" vertical="center"/>
    </xf>
    <xf numFmtId="44" fontId="0" fillId="4" borderId="3" xfId="24" applyFont="1" applyFill="1" applyBorder="1"/>
    <xf numFmtId="10" fontId="0" fillId="4" borderId="3" xfId="2" applyNumberFormat="1" applyFont="1" applyFill="1" applyBorder="1" applyAlignment="1">
      <alignment horizontal="center"/>
    </xf>
    <xf numFmtId="44" fontId="0" fillId="2" borderId="3" xfId="24" applyFont="1" applyFill="1" applyBorder="1"/>
    <xf numFmtId="10" fontId="0" fillId="2" borderId="3" xfId="2" applyNumberFormat="1" applyFont="1" applyFill="1" applyBorder="1" applyAlignment="1">
      <alignment horizontal="center"/>
    </xf>
    <xf numFmtId="0" fontId="0" fillId="0" borderId="38" xfId="0" applyBorder="1"/>
    <xf numFmtId="0" fontId="30" fillId="0" borderId="1" xfId="0" applyFont="1" applyBorder="1" applyAlignment="1">
      <alignment horizontal="left" vertical="center"/>
    </xf>
    <xf numFmtId="44" fontId="0" fillId="2" borderId="4" xfId="24" applyFont="1" applyFill="1" applyBorder="1"/>
    <xf numFmtId="0" fontId="2" fillId="2" borderId="3" xfId="0" applyFont="1" applyFill="1" applyBorder="1"/>
    <xf numFmtId="44" fontId="0" fillId="2" borderId="19" xfId="24" applyFont="1" applyFill="1" applyBorder="1"/>
    <xf numFmtId="0" fontId="16" fillId="2" borderId="3" xfId="0" applyFont="1" applyFill="1" applyBorder="1"/>
    <xf numFmtId="7" fontId="16" fillId="0" borderId="14" xfId="1" applyNumberFormat="1" applyFont="1" applyBorder="1"/>
    <xf numFmtId="8" fontId="34" fillId="2" borderId="3" xfId="0" applyNumberFormat="1" applyFont="1" applyFill="1" applyBorder="1" applyAlignment="1">
      <alignment horizontal="right"/>
    </xf>
    <xf numFmtId="165" fontId="4" fillId="0" borderId="3" xfId="0" applyNumberFormat="1" applyFont="1" applyBorder="1" applyAlignment="1">
      <alignment horizontal="center" vertical="center"/>
    </xf>
    <xf numFmtId="165" fontId="4" fillId="2" borderId="3" xfId="0" applyNumberFormat="1" applyFont="1" applyFill="1" applyBorder="1" applyAlignment="1">
      <alignment horizontal="center" vertical="center"/>
    </xf>
    <xf numFmtId="7" fontId="18" fillId="11" borderId="25" xfId="3" applyNumberFormat="1" applyFont="1" applyFill="1" applyBorder="1" applyAlignment="1">
      <alignment horizontal="center" vertical="center"/>
    </xf>
    <xf numFmtId="7" fontId="18" fillId="11" borderId="10" xfId="3" applyNumberFormat="1" applyFont="1" applyFill="1" applyBorder="1" applyAlignment="1">
      <alignment horizontal="center" vertical="center"/>
    </xf>
    <xf numFmtId="1" fontId="18" fillId="11" borderId="25" xfId="3" applyNumberFormat="1" applyFont="1" applyFill="1" applyBorder="1" applyAlignment="1">
      <alignment horizontal="center" vertical="center"/>
    </xf>
    <xf numFmtId="7" fontId="18" fillId="11" borderId="42" xfId="3" applyNumberFormat="1" applyFont="1" applyFill="1" applyBorder="1" applyAlignment="1">
      <alignment horizontal="center" vertical="center"/>
    </xf>
    <xf numFmtId="1" fontId="18" fillId="11" borderId="10" xfId="3" applyNumberFormat="1" applyFont="1" applyFill="1" applyBorder="1" applyAlignment="1">
      <alignment horizontal="center" vertical="center"/>
    </xf>
    <xf numFmtId="7" fontId="18" fillId="11" borderId="41" xfId="3" applyNumberFormat="1" applyFont="1" applyFill="1" applyBorder="1" applyAlignment="1">
      <alignment horizontal="center" vertical="center"/>
    </xf>
    <xf numFmtId="0" fontId="0" fillId="0" borderId="1" xfId="0" applyBorder="1" applyAlignment="1">
      <alignment horizontal="left" vertical="center"/>
    </xf>
    <xf numFmtId="165" fontId="0" fillId="0" borderId="4" xfId="0" applyNumberFormat="1" applyBorder="1" applyAlignment="1">
      <alignment horizontal="center" vertical="center"/>
    </xf>
    <xf numFmtId="7" fontId="11" fillId="21" borderId="4" xfId="25" applyNumberFormat="1" applyFont="1" applyFill="1" applyBorder="1"/>
    <xf numFmtId="7" fontId="0" fillId="21" borderId="4" xfId="24" applyNumberFormat="1" applyFont="1" applyFill="1" applyBorder="1"/>
    <xf numFmtId="44" fontId="0" fillId="2" borderId="0" xfId="24" applyFont="1" applyFill="1" applyBorder="1"/>
    <xf numFmtId="0" fontId="17" fillId="2" borderId="40" xfId="0" applyFont="1" applyFill="1" applyBorder="1"/>
    <xf numFmtId="0" fontId="11" fillId="2" borderId="0" xfId="0" applyFont="1" applyFill="1" applyAlignment="1">
      <alignment horizontal="center"/>
    </xf>
    <xf numFmtId="44" fontId="3" fillId="2" borderId="41" xfId="24" applyFont="1" applyFill="1" applyBorder="1"/>
    <xf numFmtId="44" fontId="0" fillId="0" borderId="0" xfId="0" applyNumberFormat="1"/>
    <xf numFmtId="0" fontId="33" fillId="6" borderId="5" xfId="3" applyFont="1" applyFill="1" applyBorder="1" applyAlignment="1">
      <alignment horizontal="left" vertical="center"/>
    </xf>
    <xf numFmtId="0" fontId="3" fillId="6" borderId="5" xfId="0" applyFont="1" applyFill="1" applyBorder="1" applyAlignment="1">
      <alignment horizontal="left" vertical="center"/>
    </xf>
    <xf numFmtId="0" fontId="3" fillId="6" borderId="43" xfId="0" applyFont="1" applyFill="1" applyBorder="1" applyAlignment="1">
      <alignment horizontal="left" vertical="center"/>
    </xf>
    <xf numFmtId="0" fontId="3" fillId="6" borderId="44" xfId="0" applyFont="1" applyFill="1" applyBorder="1" applyAlignment="1">
      <alignment horizontal="left" vertical="center"/>
    </xf>
    <xf numFmtId="0" fontId="3" fillId="6" borderId="44" xfId="0" applyFont="1" applyFill="1" applyBorder="1" applyAlignment="1">
      <alignment horizontal="center" vertical="center"/>
    </xf>
    <xf numFmtId="0" fontId="3" fillId="6" borderId="45" xfId="0" applyFont="1" applyFill="1" applyBorder="1" applyAlignment="1">
      <alignment horizontal="center" vertical="center"/>
    </xf>
    <xf numFmtId="0" fontId="5" fillId="2" borderId="17" xfId="3" applyFill="1" applyBorder="1" applyAlignment="1">
      <alignment horizontal="center" vertical="center"/>
    </xf>
    <xf numFmtId="8" fontId="13" fillId="2" borderId="17" xfId="3" applyNumberFormat="1" applyFont="1" applyFill="1" applyBorder="1" applyAlignment="1">
      <alignment vertical="center"/>
    </xf>
    <xf numFmtId="165" fontId="2" fillId="0" borderId="8" xfId="0" applyNumberFormat="1" applyFont="1" applyBorder="1" applyAlignment="1">
      <alignment horizontal="center" vertical="center"/>
    </xf>
    <xf numFmtId="165" fontId="12" fillId="2" borderId="17" xfId="3" applyNumberFormat="1" applyFont="1" applyFill="1" applyBorder="1" applyAlignment="1">
      <alignment horizontal="center" vertical="center"/>
    </xf>
    <xf numFmtId="7" fontId="0" fillId="2" borderId="17" xfId="1" applyNumberFormat="1" applyFont="1" applyFill="1" applyBorder="1"/>
    <xf numFmtId="0" fontId="3" fillId="2" borderId="3" xfId="0" applyFont="1" applyFill="1" applyBorder="1" applyAlignment="1">
      <alignment horizontal="left" vertical="center"/>
    </xf>
    <xf numFmtId="0" fontId="3" fillId="2" borderId="3" xfId="0" applyFont="1" applyFill="1" applyBorder="1" applyAlignment="1">
      <alignment horizontal="center" vertical="center"/>
    </xf>
    <xf numFmtId="0" fontId="32" fillId="2" borderId="3" xfId="3" applyFont="1" applyFill="1" applyBorder="1" applyAlignment="1">
      <alignment horizontal="left" vertical="center"/>
    </xf>
    <xf numFmtId="165" fontId="5" fillId="2" borderId="3" xfId="3" applyNumberFormat="1" applyFill="1" applyBorder="1" applyAlignment="1">
      <alignment horizontal="center" vertical="center"/>
    </xf>
    <xf numFmtId="165" fontId="2" fillId="0" borderId="3" xfId="0" applyNumberFormat="1" applyFont="1" applyBorder="1" applyAlignment="1">
      <alignment horizontal="center" vertical="center"/>
    </xf>
    <xf numFmtId="0" fontId="0" fillId="0" borderId="47" xfId="0" applyBorder="1"/>
    <xf numFmtId="0" fontId="0" fillId="0" borderId="48" xfId="0" applyBorder="1"/>
    <xf numFmtId="0" fontId="0" fillId="0" borderId="1" xfId="0" applyBorder="1"/>
    <xf numFmtId="0" fontId="3" fillId="0" borderId="26" xfId="0" applyFont="1" applyBorder="1"/>
    <xf numFmtId="0" fontId="4" fillId="18" borderId="40" xfId="0" applyFont="1" applyFill="1" applyBorder="1" applyAlignment="1">
      <alignment horizontal="center"/>
    </xf>
    <xf numFmtId="7" fontId="0" fillId="21" borderId="3" xfId="24" applyNumberFormat="1" applyFont="1" applyFill="1" applyBorder="1"/>
    <xf numFmtId="7" fontId="11" fillId="21" borderId="3" xfId="25" applyNumberFormat="1" applyFont="1" applyFill="1" applyBorder="1"/>
    <xf numFmtId="44" fontId="0" fillId="21" borderId="3" xfId="24" applyFont="1" applyFill="1" applyBorder="1"/>
    <xf numFmtId="44" fontId="3" fillId="0" borderId="3" xfId="24" applyFont="1" applyBorder="1"/>
    <xf numFmtId="2" fontId="2" fillId="2" borderId="4" xfId="0" applyNumberFormat="1" applyFont="1" applyFill="1" applyBorder="1"/>
    <xf numFmtId="2" fontId="16" fillId="2" borderId="4" xfId="0" applyNumberFormat="1" applyFont="1" applyFill="1" applyBorder="1"/>
    <xf numFmtId="0" fontId="16" fillId="2" borderId="4" xfId="0" applyFont="1" applyFill="1" applyBorder="1"/>
    <xf numFmtId="164" fontId="16" fillId="2" borderId="4" xfId="1" applyFont="1" applyFill="1" applyBorder="1"/>
    <xf numFmtId="164" fontId="16" fillId="2" borderId="4" xfId="0" applyNumberFormat="1" applyFont="1" applyFill="1" applyBorder="1"/>
    <xf numFmtId="44" fontId="16" fillId="2" borderId="4" xfId="0" applyNumberFormat="1" applyFont="1" applyFill="1" applyBorder="1"/>
    <xf numFmtId="9" fontId="3" fillId="0" borderId="3" xfId="2" applyFont="1" applyBorder="1" applyAlignment="1">
      <alignment horizontal="center"/>
    </xf>
    <xf numFmtId="44" fontId="2" fillId="2" borderId="3" xfId="0" applyNumberFormat="1" applyFont="1" applyFill="1" applyBorder="1"/>
    <xf numFmtId="0" fontId="3" fillId="2" borderId="3" xfId="0" applyFont="1" applyFill="1" applyBorder="1"/>
    <xf numFmtId="7" fontId="2" fillId="0" borderId="3" xfId="0" applyNumberFormat="1" applyFont="1" applyBorder="1"/>
    <xf numFmtId="14" fontId="0" fillId="0" borderId="0" xfId="0" applyNumberFormat="1"/>
    <xf numFmtId="177" fontId="0" fillId="0" borderId="5" xfId="1" applyNumberFormat="1" applyFont="1" applyBorder="1" applyAlignment="1">
      <alignment horizontal="center" vertical="center"/>
    </xf>
    <xf numFmtId="164" fontId="31" fillId="22" borderId="17" xfId="1" applyFont="1" applyFill="1" applyBorder="1"/>
    <xf numFmtId="164" fontId="0" fillId="22" borderId="17" xfId="1" applyFont="1" applyFill="1" applyBorder="1"/>
    <xf numFmtId="164" fontId="0" fillId="22" borderId="17" xfId="1" applyFont="1" applyFill="1" applyBorder="1" applyAlignment="1">
      <alignment horizontal="center" vertical="center"/>
    </xf>
    <xf numFmtId="164" fontId="0" fillId="22" borderId="17" xfId="1" applyFont="1" applyFill="1" applyBorder="1" applyAlignment="1">
      <alignment horizontal="center"/>
    </xf>
    <xf numFmtId="171" fontId="0" fillId="22" borderId="17" xfId="1" applyNumberFormat="1" applyFont="1" applyFill="1" applyBorder="1" applyAlignment="1">
      <alignment horizontal="center" vertical="center"/>
    </xf>
    <xf numFmtId="171" fontId="2" fillId="22" borderId="17" xfId="1" applyNumberFormat="1" applyFont="1" applyFill="1" applyBorder="1" applyAlignment="1">
      <alignment horizontal="center" vertical="center"/>
    </xf>
    <xf numFmtId="7" fontId="16" fillId="22" borderId="17" xfId="1" applyNumberFormat="1" applyFont="1" applyFill="1" applyBorder="1"/>
    <xf numFmtId="7" fontId="0" fillId="22" borderId="17" xfId="1" applyNumberFormat="1" applyFont="1" applyFill="1" applyBorder="1" applyAlignment="1">
      <alignment horizontal="right" vertical="center"/>
    </xf>
    <xf numFmtId="7" fontId="30" fillId="22" borderId="17" xfId="1" applyNumberFormat="1" applyFont="1" applyFill="1" applyBorder="1" applyAlignment="1">
      <alignment horizontal="right"/>
    </xf>
    <xf numFmtId="7" fontId="3" fillId="22" borderId="18" xfId="1" applyNumberFormat="1" applyFont="1" applyFill="1" applyBorder="1" applyAlignment="1">
      <alignment horizontal="center" vertical="center"/>
    </xf>
    <xf numFmtId="164" fontId="31" fillId="22" borderId="5" xfId="1" applyFont="1" applyFill="1" applyBorder="1"/>
    <xf numFmtId="164" fontId="0" fillId="22" borderId="5" xfId="1" applyFont="1" applyFill="1" applyBorder="1"/>
    <xf numFmtId="164" fontId="0" fillId="22" borderId="5" xfId="1" applyFont="1" applyFill="1" applyBorder="1" applyAlignment="1">
      <alignment horizontal="center" vertical="center"/>
    </xf>
    <xf numFmtId="164" fontId="0" fillId="22" borderId="5" xfId="1" applyFont="1" applyFill="1" applyBorder="1" applyAlignment="1">
      <alignment horizontal="center"/>
    </xf>
    <xf numFmtId="171" fontId="0" fillId="22" borderId="5" xfId="1" applyNumberFormat="1" applyFont="1" applyFill="1" applyBorder="1" applyAlignment="1">
      <alignment horizontal="center" vertical="center"/>
    </xf>
    <xf numFmtId="172" fontId="2" fillId="22" borderId="5" xfId="1" applyNumberFormat="1" applyFont="1" applyFill="1" applyBorder="1" applyAlignment="1">
      <alignment horizontal="center" vertical="center"/>
    </xf>
    <xf numFmtId="7" fontId="16" fillId="22" borderId="14" xfId="1" applyNumberFormat="1" applyFont="1" applyFill="1" applyBorder="1"/>
    <xf numFmtId="8" fontId="34" fillId="22" borderId="3" xfId="0" applyNumberFormat="1" applyFont="1" applyFill="1" applyBorder="1" applyAlignment="1">
      <alignment horizontal="right" vertical="center"/>
    </xf>
    <xf numFmtId="7" fontId="0" fillId="22" borderId="5" xfId="1" applyNumberFormat="1" applyFont="1" applyFill="1" applyBorder="1" applyAlignment="1">
      <alignment horizontal="right" vertical="center"/>
    </xf>
    <xf numFmtId="164" fontId="31" fillId="2" borderId="5" xfId="1" applyFont="1" applyFill="1" applyBorder="1"/>
    <xf numFmtId="164" fontId="0" fillId="2" borderId="5" xfId="1" applyFont="1" applyFill="1" applyBorder="1"/>
    <xf numFmtId="164" fontId="0" fillId="2" borderId="5" xfId="1" applyFont="1" applyFill="1" applyBorder="1" applyAlignment="1">
      <alignment horizontal="center" vertical="center"/>
    </xf>
    <xf numFmtId="164" fontId="0" fillId="2" borderId="5" xfId="1" applyFont="1" applyFill="1" applyBorder="1" applyAlignment="1">
      <alignment horizontal="center"/>
    </xf>
    <xf numFmtId="171" fontId="0" fillId="2" borderId="5" xfId="1" applyNumberFormat="1" applyFont="1" applyFill="1" applyBorder="1" applyAlignment="1">
      <alignment horizontal="center" vertical="center"/>
    </xf>
    <xf numFmtId="172" fontId="2" fillId="2" borderId="5" xfId="1" applyNumberFormat="1" applyFont="1" applyFill="1" applyBorder="1" applyAlignment="1">
      <alignment horizontal="center" vertical="center"/>
    </xf>
    <xf numFmtId="7" fontId="16" fillId="2" borderId="14" xfId="1" applyNumberFormat="1" applyFont="1" applyFill="1" applyBorder="1"/>
    <xf numFmtId="7" fontId="0" fillId="2" borderId="17" xfId="1" applyNumberFormat="1" applyFont="1" applyFill="1" applyBorder="1" applyAlignment="1">
      <alignment horizontal="right" vertical="center"/>
    </xf>
    <xf numFmtId="7" fontId="0" fillId="2" borderId="5" xfId="1" applyNumberFormat="1" applyFont="1" applyFill="1" applyBorder="1" applyAlignment="1">
      <alignment horizontal="right" vertical="center"/>
    </xf>
    <xf numFmtId="7" fontId="30" fillId="2" borderId="17" xfId="1" applyNumberFormat="1" applyFont="1" applyFill="1" applyBorder="1" applyAlignment="1">
      <alignment horizontal="right"/>
    </xf>
    <xf numFmtId="7" fontId="3" fillId="2" borderId="18" xfId="1" applyNumberFormat="1" applyFont="1" applyFill="1" applyBorder="1" applyAlignment="1">
      <alignment horizontal="center" vertical="center"/>
    </xf>
    <xf numFmtId="7" fontId="0" fillId="2" borderId="17" xfId="0" applyNumberFormat="1" applyFill="1" applyBorder="1" applyAlignment="1">
      <alignment horizontal="right"/>
    </xf>
    <xf numFmtId="7" fontId="0" fillId="0" borderId="17" xfId="1" applyNumberFormat="1" applyFont="1" applyBorder="1" applyAlignment="1">
      <alignment horizontal="center" vertical="center"/>
    </xf>
    <xf numFmtId="7" fontId="11" fillId="0" borderId="5" xfId="1" applyNumberFormat="1" applyFont="1" applyBorder="1" applyAlignment="1">
      <alignment horizontal="center" vertical="center"/>
    </xf>
    <xf numFmtId="171" fontId="11" fillId="0" borderId="5" xfId="1" applyNumberFormat="1" applyFont="1" applyBorder="1" applyAlignment="1">
      <alignment horizontal="center" vertical="center"/>
    </xf>
    <xf numFmtId="164" fontId="1" fillId="0" borderId="5" xfId="1" applyFont="1" applyBorder="1"/>
    <xf numFmtId="7" fontId="0" fillId="0" borderId="5" xfId="1" applyNumberFormat="1" applyFont="1" applyBorder="1" applyAlignment="1">
      <alignment horizontal="center" vertical="center"/>
    </xf>
    <xf numFmtId="175" fontId="0" fillId="0" borderId="5" xfId="1" applyNumberFormat="1" applyFont="1" applyBorder="1" applyAlignment="1">
      <alignment horizontal="center" vertical="center"/>
    </xf>
    <xf numFmtId="9" fontId="0" fillId="0" borderId="5" xfId="2" applyFont="1" applyBorder="1" applyAlignment="1">
      <alignment horizontal="center" vertical="center"/>
    </xf>
    <xf numFmtId="164" fontId="46" fillId="0" borderId="17" xfId="1" applyFont="1" applyBorder="1"/>
    <xf numFmtId="164" fontId="46" fillId="0" borderId="3" xfId="1" applyFont="1" applyBorder="1"/>
    <xf numFmtId="164" fontId="46" fillId="2" borderId="5" xfId="1" applyFont="1" applyFill="1" applyBorder="1"/>
    <xf numFmtId="164" fontId="46" fillId="0" borderId="5" xfId="1" applyFont="1" applyBorder="1"/>
    <xf numFmtId="165" fontId="0" fillId="0" borderId="5" xfId="1" applyNumberFormat="1" applyFont="1" applyBorder="1" applyAlignment="1">
      <alignment horizontal="right" vertical="center"/>
    </xf>
    <xf numFmtId="171" fontId="46" fillId="0" borderId="5" xfId="1" applyNumberFormat="1" applyFont="1" applyBorder="1" applyAlignment="1">
      <alignment horizontal="center"/>
    </xf>
    <xf numFmtId="9" fontId="11" fillId="0" borderId="17" xfId="2" applyFont="1" applyBorder="1" applyAlignment="1">
      <alignment horizontal="center" vertical="center"/>
    </xf>
    <xf numFmtId="177" fontId="11" fillId="0" borderId="3" xfId="1" applyNumberFormat="1" applyFont="1" applyBorder="1" applyAlignment="1">
      <alignment horizontal="center" vertical="center"/>
    </xf>
    <xf numFmtId="9" fontId="11" fillId="0" borderId="5" xfId="2" applyFont="1" applyBorder="1" applyAlignment="1">
      <alignment horizontal="center" vertical="center"/>
    </xf>
    <xf numFmtId="171" fontId="11" fillId="22" borderId="5" xfId="1" applyNumberFormat="1" applyFont="1" applyFill="1" applyBorder="1" applyAlignment="1">
      <alignment horizontal="center" vertical="center"/>
    </xf>
    <xf numFmtId="171" fontId="11" fillId="2" borderId="5" xfId="1" applyNumberFormat="1" applyFont="1" applyFill="1" applyBorder="1" applyAlignment="1">
      <alignment horizontal="center" vertical="center"/>
    </xf>
    <xf numFmtId="7" fontId="0" fillId="23" borderId="17" xfId="1" applyNumberFormat="1" applyFont="1" applyFill="1" applyBorder="1" applyAlignment="1">
      <alignment horizontal="right" vertical="center"/>
    </xf>
    <xf numFmtId="172" fontId="0" fillId="2" borderId="5" xfId="1" applyNumberFormat="1" applyFont="1" applyFill="1" applyBorder="1" applyAlignment="1">
      <alignment horizontal="center" vertical="center"/>
    </xf>
    <xf numFmtId="164" fontId="30" fillId="2" borderId="5" xfId="1" applyFont="1" applyFill="1" applyBorder="1"/>
    <xf numFmtId="164" fontId="30" fillId="0" borderId="3" xfId="1" applyFont="1" applyBorder="1"/>
    <xf numFmtId="7" fontId="3" fillId="22" borderId="17" xfId="0" applyNumberFormat="1" applyFont="1" applyFill="1" applyBorder="1" applyAlignment="1">
      <alignment horizontal="right"/>
    </xf>
    <xf numFmtId="164" fontId="0" fillId="23" borderId="3" xfId="1" applyFont="1" applyFill="1" applyBorder="1"/>
    <xf numFmtId="7" fontId="3" fillId="23" borderId="3" xfId="1" applyNumberFormat="1" applyFont="1" applyFill="1" applyBorder="1"/>
    <xf numFmtId="164" fontId="1" fillId="2" borderId="5" xfId="1" applyFont="1" applyFill="1" applyBorder="1"/>
    <xf numFmtId="9" fontId="0" fillId="0" borderId="5" xfId="1" applyNumberFormat="1" applyFont="1" applyBorder="1"/>
    <xf numFmtId="164" fontId="0" fillId="0" borderId="17" xfId="1" applyFont="1" applyBorder="1" applyAlignment="1">
      <alignment horizontal="right" vertical="center"/>
    </xf>
    <xf numFmtId="164" fontId="30" fillId="0" borderId="17" xfId="1" applyFont="1" applyBorder="1" applyAlignment="1">
      <alignment horizontal="right"/>
    </xf>
    <xf numFmtId="164" fontId="3" fillId="0" borderId="5" xfId="1" applyFont="1" applyBorder="1" applyAlignment="1">
      <alignment horizontal="center" vertical="center"/>
    </xf>
    <xf numFmtId="9" fontId="0" fillId="0" borderId="3" xfId="2" applyFont="1" applyBorder="1" applyAlignment="1">
      <alignment horizontal="center" vertical="center"/>
    </xf>
    <xf numFmtId="172" fontId="2" fillId="0" borderId="3" xfId="1" applyNumberFormat="1" applyFont="1" applyBorder="1" applyAlignment="1">
      <alignment horizontal="center" vertical="center"/>
    </xf>
    <xf numFmtId="7" fontId="30" fillId="0" borderId="8" xfId="1" applyNumberFormat="1" applyFont="1" applyBorder="1" applyAlignment="1">
      <alignment horizontal="right"/>
    </xf>
    <xf numFmtId="7" fontId="3" fillId="0" borderId="20" xfId="1" applyNumberFormat="1" applyFont="1" applyBorder="1" applyAlignment="1">
      <alignment horizontal="center" vertical="center"/>
    </xf>
    <xf numFmtId="7" fontId="0" fillId="0" borderId="8" xfId="0" applyNumberFormat="1" applyBorder="1" applyAlignment="1">
      <alignment horizontal="right"/>
    </xf>
    <xf numFmtId="7" fontId="3" fillId="0" borderId="5" xfId="1" applyNumberFormat="1" applyFont="1" applyBorder="1" applyAlignment="1">
      <alignment horizontal="center" vertical="center"/>
    </xf>
    <xf numFmtId="164" fontId="31" fillId="23" borderId="8" xfId="1" applyFont="1" applyFill="1" applyBorder="1"/>
    <xf numFmtId="164" fontId="0" fillId="23" borderId="8" xfId="1" applyFont="1" applyFill="1" applyBorder="1"/>
    <xf numFmtId="164" fontId="0" fillId="23" borderId="8" xfId="1" applyFont="1" applyFill="1" applyBorder="1" applyAlignment="1">
      <alignment horizontal="center" vertical="center"/>
    </xf>
    <xf numFmtId="164" fontId="0" fillId="23" borderId="8" xfId="1" applyFont="1" applyFill="1" applyBorder="1" applyAlignment="1">
      <alignment horizontal="center"/>
    </xf>
    <xf numFmtId="172" fontId="0" fillId="23" borderId="8" xfId="1" applyNumberFormat="1" applyFont="1" applyFill="1" applyBorder="1" applyAlignment="1">
      <alignment horizontal="center" vertical="center"/>
    </xf>
    <xf numFmtId="172" fontId="2" fillId="23" borderId="8" xfId="1" applyNumberFormat="1" applyFont="1" applyFill="1" applyBorder="1" applyAlignment="1">
      <alignment horizontal="center" vertical="center"/>
    </xf>
    <xf numFmtId="4" fontId="0" fillId="0" borderId="3" xfId="0" applyNumberFormat="1" applyBorder="1" applyAlignment="1">
      <alignment horizontal="center" vertical="center"/>
    </xf>
    <xf numFmtId="171" fontId="0" fillId="0" borderId="3" xfId="1" applyNumberFormat="1" applyFont="1" applyFill="1" applyBorder="1" applyAlignment="1">
      <alignment horizontal="center" vertical="center"/>
    </xf>
    <xf numFmtId="171" fontId="0" fillId="0" borderId="3" xfId="0" applyNumberFormat="1" applyBorder="1"/>
    <xf numFmtId="7" fontId="0" fillId="23" borderId="3" xfId="1" applyNumberFormat="1" applyFont="1" applyFill="1" applyBorder="1" applyAlignment="1">
      <alignment horizontal="right" vertical="center"/>
    </xf>
    <xf numFmtId="7" fontId="30" fillId="23" borderId="3" xfId="1" applyNumberFormat="1" applyFont="1" applyFill="1" applyBorder="1" applyAlignment="1">
      <alignment horizontal="right"/>
    </xf>
    <xf numFmtId="7" fontId="3" fillId="23" borderId="3" xfId="1" applyNumberFormat="1" applyFont="1" applyFill="1" applyBorder="1" applyAlignment="1">
      <alignment horizontal="center" vertical="center"/>
    </xf>
    <xf numFmtId="7" fontId="3" fillId="23" borderId="3" xfId="0" applyNumberFormat="1" applyFont="1" applyFill="1" applyBorder="1" applyAlignment="1">
      <alignment horizontal="right"/>
    </xf>
    <xf numFmtId="164" fontId="3" fillId="0" borderId="3" xfId="1" applyFont="1" applyBorder="1" applyAlignment="1">
      <alignment horizontal="center" vertical="center"/>
    </xf>
    <xf numFmtId="0" fontId="0" fillId="0" borderId="0" xfId="0" applyAlignment="1">
      <alignment vertical="center"/>
    </xf>
    <xf numFmtId="0" fontId="11" fillId="0" borderId="0" xfId="0" applyFont="1" applyAlignment="1">
      <alignment horizontal="center" vertical="center"/>
    </xf>
    <xf numFmtId="0" fontId="32" fillId="2" borderId="25" xfId="3" applyFont="1" applyFill="1" applyBorder="1" applyAlignment="1">
      <alignment horizontal="left" vertical="center"/>
    </xf>
    <xf numFmtId="10" fontId="18" fillId="2" borderId="25" xfId="2" applyNumberFormat="1" applyFont="1" applyFill="1" applyBorder="1" applyAlignment="1">
      <alignment horizontal="center" vertical="center"/>
    </xf>
    <xf numFmtId="2" fontId="18" fillId="2" borderId="25" xfId="3" applyNumberFormat="1" applyFont="1" applyFill="1" applyBorder="1" applyAlignment="1">
      <alignment horizontal="center" vertical="center"/>
    </xf>
    <xf numFmtId="4" fontId="18" fillId="2" borderId="25" xfId="3" applyNumberFormat="1" applyFont="1" applyFill="1" applyBorder="1" applyAlignment="1">
      <alignment horizontal="center" vertical="center"/>
    </xf>
    <xf numFmtId="1" fontId="18" fillId="2" borderId="25" xfId="3" applyNumberFormat="1" applyFont="1" applyFill="1" applyBorder="1" applyAlignment="1">
      <alignment horizontal="center" vertical="center"/>
    </xf>
    <xf numFmtId="1" fontId="18" fillId="2" borderId="0" xfId="3" applyNumberFormat="1" applyFont="1" applyFill="1" applyAlignment="1">
      <alignment horizontal="center" vertical="center"/>
    </xf>
    <xf numFmtId="7" fontId="18" fillId="2" borderId="0" xfId="3" applyNumberFormat="1" applyFont="1" applyFill="1" applyAlignment="1">
      <alignment horizontal="center" vertical="center"/>
    </xf>
    <xf numFmtId="10" fontId="18" fillId="2" borderId="3" xfId="2" applyNumberFormat="1" applyFont="1" applyFill="1" applyBorder="1" applyAlignment="1">
      <alignment horizontal="center" vertical="center"/>
    </xf>
    <xf numFmtId="1" fontId="18" fillId="2" borderId="3" xfId="3" applyNumberFormat="1" applyFont="1" applyFill="1" applyBorder="1" applyAlignment="1">
      <alignment horizontal="center" vertical="center"/>
    </xf>
    <xf numFmtId="7" fontId="18" fillId="2" borderId="3" xfId="3" applyNumberFormat="1" applyFont="1" applyFill="1" applyBorder="1" applyAlignment="1">
      <alignment horizontal="center" vertical="center"/>
    </xf>
    <xf numFmtId="165" fontId="19" fillId="2" borderId="3" xfId="3" applyNumberFormat="1" applyFont="1" applyFill="1" applyBorder="1" applyAlignment="1">
      <alignment horizontal="center" vertical="center"/>
    </xf>
    <xf numFmtId="2" fontId="5" fillId="2" borderId="3" xfId="3" applyNumberFormat="1" applyFill="1" applyBorder="1" applyAlignment="1">
      <alignment horizontal="center" vertical="center"/>
    </xf>
    <xf numFmtId="4" fontId="5" fillId="2" borderId="3" xfId="3" applyNumberFormat="1" applyFill="1" applyBorder="1" applyAlignment="1">
      <alignment horizontal="center" vertical="center"/>
    </xf>
    <xf numFmtId="1" fontId="5" fillId="2" borderId="3" xfId="3" applyNumberFormat="1" applyFill="1" applyBorder="1" applyAlignment="1">
      <alignment horizontal="center" vertical="center"/>
    </xf>
    <xf numFmtId="164" fontId="0" fillId="2" borderId="0" xfId="1" applyFont="1" applyFill="1" applyBorder="1"/>
    <xf numFmtId="164" fontId="0" fillId="2" borderId="0" xfId="1" applyFont="1" applyFill="1" applyBorder="1" applyAlignment="1">
      <alignment horizontal="center" vertical="center"/>
    </xf>
    <xf numFmtId="164" fontId="0" fillId="2" borderId="0" xfId="1" applyFont="1" applyFill="1" applyBorder="1" applyAlignment="1">
      <alignment horizontal="center"/>
    </xf>
    <xf numFmtId="171" fontId="0" fillId="2" borderId="8" xfId="1" applyNumberFormat="1" applyFont="1" applyFill="1" applyBorder="1" applyAlignment="1">
      <alignment horizontal="center" vertical="center"/>
    </xf>
    <xf numFmtId="171" fontId="0" fillId="2" borderId="0" xfId="1" applyNumberFormat="1" applyFont="1" applyFill="1" applyBorder="1" applyAlignment="1">
      <alignment horizontal="center" vertical="center"/>
    </xf>
    <xf numFmtId="171" fontId="38" fillId="2" borderId="0" xfId="1" applyNumberFormat="1" applyFont="1" applyFill="1" applyBorder="1" applyAlignment="1">
      <alignment horizontal="center" vertical="center"/>
    </xf>
    <xf numFmtId="171" fontId="2" fillId="2" borderId="0" xfId="1" applyNumberFormat="1" applyFont="1" applyFill="1" applyBorder="1" applyAlignment="1">
      <alignment horizontal="center" vertical="center"/>
    </xf>
    <xf numFmtId="7" fontId="16" fillId="2" borderId="0" xfId="1" applyNumberFormat="1" applyFont="1" applyFill="1" applyBorder="1"/>
    <xf numFmtId="7" fontId="0" fillId="2" borderId="0" xfId="1" applyNumberFormat="1" applyFont="1" applyFill="1" applyBorder="1" applyAlignment="1">
      <alignment horizontal="right" vertical="center"/>
    </xf>
    <xf numFmtId="7" fontId="39" fillId="2" borderId="0" xfId="1" applyNumberFormat="1" applyFont="1" applyFill="1" applyBorder="1" applyAlignment="1">
      <alignment horizontal="right"/>
    </xf>
    <xf numFmtId="7" fontId="3" fillId="2" borderId="0" xfId="1" applyNumberFormat="1" applyFont="1" applyFill="1" applyBorder="1" applyAlignment="1">
      <alignment horizontal="center" vertical="center"/>
    </xf>
    <xf numFmtId="7" fontId="0" fillId="2" borderId="0" xfId="0" applyNumberFormat="1" applyFill="1" applyAlignment="1">
      <alignment horizontal="right"/>
    </xf>
    <xf numFmtId="7" fontId="8" fillId="11" borderId="49" xfId="3" applyNumberFormat="1" applyFont="1" applyFill="1" applyBorder="1" applyAlignment="1">
      <alignment horizontal="center" vertical="center"/>
    </xf>
    <xf numFmtId="165" fontId="10" fillId="4" borderId="26" xfId="3" applyNumberFormat="1" applyFont="1" applyFill="1" applyBorder="1" applyAlignment="1">
      <alignment horizontal="right" vertical="center" indent="1"/>
    </xf>
    <xf numFmtId="165" fontId="0" fillId="2" borderId="3" xfId="0" applyNumberFormat="1" applyFill="1" applyBorder="1" applyAlignment="1">
      <alignment horizontal="center" vertical="center"/>
    </xf>
    <xf numFmtId="0" fontId="3" fillId="0" borderId="0" xfId="0" applyFont="1" applyAlignment="1">
      <alignment horizontal="left" vertical="center" indent="1"/>
    </xf>
    <xf numFmtId="16" fontId="0" fillId="0" borderId="0" xfId="0" applyNumberFormat="1"/>
    <xf numFmtId="0" fontId="6" fillId="0" borderId="10" xfId="17" applyFont="1" applyBorder="1" applyAlignment="1">
      <alignment vertical="center"/>
    </xf>
    <xf numFmtId="0" fontId="6" fillId="0" borderId="10" xfId="17" applyFont="1" applyBorder="1" applyAlignment="1">
      <alignment horizontal="right" vertical="center"/>
    </xf>
    <xf numFmtId="0" fontId="8" fillId="0" borderId="0" xfId="17" applyFont="1" applyAlignment="1">
      <alignment vertical="center"/>
    </xf>
    <xf numFmtId="0" fontId="8" fillId="0" borderId="0" xfId="17" applyFont="1" applyAlignment="1">
      <alignment horizontal="right" vertical="center"/>
    </xf>
    <xf numFmtId="3" fontId="8" fillId="0" borderId="0" xfId="17" applyNumberFormat="1" applyFont="1" applyAlignment="1">
      <alignment horizontal="left" vertical="center"/>
    </xf>
    <xf numFmtId="0" fontId="8" fillId="0" borderId="28" xfId="17" applyFont="1" applyBorder="1" applyAlignment="1">
      <alignment vertical="center"/>
    </xf>
    <xf numFmtId="0" fontId="8" fillId="0" borderId="29" xfId="17" applyFont="1" applyBorder="1" applyAlignment="1">
      <alignment horizontal="right" vertical="center"/>
    </xf>
    <xf numFmtId="10" fontId="47" fillId="0" borderId="50" xfId="17" applyNumberFormat="1" applyFont="1" applyBorder="1" applyAlignment="1">
      <alignment horizontal="center" vertical="center"/>
    </xf>
    <xf numFmtId="0" fontId="8" fillId="24" borderId="24" xfId="17" applyFont="1" applyFill="1" applyBorder="1" applyAlignment="1">
      <alignment vertical="center" wrapText="1"/>
    </xf>
    <xf numFmtId="0" fontId="48" fillId="24" borderId="40" xfId="17" applyFont="1" applyFill="1" applyBorder="1" applyAlignment="1">
      <alignment vertical="center" wrapText="1"/>
    </xf>
    <xf numFmtId="0" fontId="48" fillId="24" borderId="25" xfId="17" applyFont="1" applyFill="1" applyBorder="1" applyAlignment="1">
      <alignment vertical="center" wrapText="1"/>
    </xf>
    <xf numFmtId="0" fontId="48" fillId="24" borderId="11" xfId="17" applyFont="1" applyFill="1" applyBorder="1" applyAlignment="1">
      <alignment vertical="center" wrapText="1"/>
    </xf>
    <xf numFmtId="0" fontId="5" fillId="0" borderId="51" xfId="17" applyBorder="1" applyAlignment="1">
      <alignment wrapText="1"/>
    </xf>
    <xf numFmtId="0" fontId="8" fillId="0" borderId="52" xfId="17" applyFont="1" applyBorder="1" applyAlignment="1">
      <alignment horizontal="center"/>
    </xf>
    <xf numFmtId="2" fontId="42" fillId="0" borderId="52" xfId="17" applyNumberFormat="1" applyFont="1" applyBorder="1" applyAlignment="1">
      <alignment horizontal="right"/>
    </xf>
    <xf numFmtId="2" fontId="5" fillId="0" borderId="52" xfId="17" applyNumberFormat="1" applyBorder="1" applyAlignment="1">
      <alignment horizontal="right"/>
    </xf>
    <xf numFmtId="4" fontId="5" fillId="0" borderId="52" xfId="17" applyNumberFormat="1" applyBorder="1" applyAlignment="1">
      <alignment horizontal="right"/>
    </xf>
    <xf numFmtId="178" fontId="5" fillId="0" borderId="33" xfId="17" applyNumberFormat="1" applyBorder="1" applyAlignment="1">
      <alignment horizontal="center"/>
    </xf>
    <xf numFmtId="165" fontId="42" fillId="0" borderId="33" xfId="17" applyNumberFormat="1" applyFont="1" applyBorder="1"/>
    <xf numFmtId="165" fontId="5" fillId="0" borderId="33" xfId="17" applyNumberFormat="1" applyBorder="1"/>
    <xf numFmtId="165" fontId="5" fillId="0" borderId="53" xfId="17" applyNumberFormat="1" applyBorder="1"/>
    <xf numFmtId="165" fontId="5" fillId="0" borderId="54" xfId="17" applyNumberFormat="1" applyBorder="1"/>
    <xf numFmtId="0" fontId="5" fillId="0" borderId="55" xfId="17" applyBorder="1" applyAlignment="1">
      <alignment wrapText="1"/>
    </xf>
    <xf numFmtId="0" fontId="8" fillId="0" borderId="3" xfId="17" applyFont="1" applyBorder="1" applyAlignment="1">
      <alignment horizontal="center"/>
    </xf>
    <xf numFmtId="2" fontId="42" fillId="0" borderId="3" xfId="17" applyNumberFormat="1" applyFont="1" applyBorder="1" applyAlignment="1">
      <alignment horizontal="right"/>
    </xf>
    <xf numFmtId="2" fontId="5" fillId="0" borderId="3" xfId="17" applyNumberFormat="1" applyBorder="1" applyAlignment="1">
      <alignment horizontal="right"/>
    </xf>
    <xf numFmtId="4" fontId="5" fillId="0" borderId="3" xfId="17" applyNumberFormat="1" applyBorder="1" applyAlignment="1">
      <alignment horizontal="right"/>
    </xf>
    <xf numFmtId="178" fontId="5" fillId="0" borderId="3" xfId="17" applyNumberFormat="1" applyBorder="1" applyAlignment="1">
      <alignment horizontal="center"/>
    </xf>
    <xf numFmtId="165" fontId="42" fillId="0" borderId="3" xfId="17" applyNumberFormat="1" applyFont="1" applyBorder="1"/>
    <xf numFmtId="165" fontId="5" fillId="0" borderId="3" xfId="17" applyNumberFormat="1" applyBorder="1"/>
    <xf numFmtId="165" fontId="5" fillId="0" borderId="1" xfId="17" applyNumberFormat="1" applyBorder="1"/>
    <xf numFmtId="165" fontId="5" fillId="0" borderId="56" xfId="17" applyNumberFormat="1" applyBorder="1"/>
    <xf numFmtId="0" fontId="5" fillId="0" borderId="3" xfId="17" applyBorder="1"/>
    <xf numFmtId="165" fontId="5" fillId="0" borderId="3" xfId="17" applyNumberFormat="1" applyBorder="1" applyAlignment="1">
      <alignment horizontal="right"/>
    </xf>
    <xf numFmtId="0" fontId="5" fillId="0" borderId="56" xfId="17" applyBorder="1"/>
    <xf numFmtId="2" fontId="42" fillId="25" borderId="3" xfId="17" applyNumberFormat="1" applyFont="1" applyFill="1" applyBorder="1" applyAlignment="1">
      <alignment horizontal="center" vertical="center"/>
    </xf>
    <xf numFmtId="0" fontId="5" fillId="0" borderId="0" xfId="17" applyAlignment="1">
      <alignment wrapText="1"/>
    </xf>
    <xf numFmtId="0" fontId="5" fillId="0" borderId="0" xfId="17"/>
    <xf numFmtId="2" fontId="5" fillId="0" borderId="0" xfId="17" applyNumberFormat="1" applyAlignment="1">
      <alignment horizontal="right"/>
    </xf>
    <xf numFmtId="4" fontId="5" fillId="0" borderId="0" xfId="17" applyNumberFormat="1" applyAlignment="1">
      <alignment horizontal="right"/>
    </xf>
    <xf numFmtId="2" fontId="42" fillId="25" borderId="0" xfId="17" applyNumberFormat="1" applyFont="1" applyFill="1" applyAlignment="1">
      <alignment horizontal="center" vertical="center"/>
    </xf>
    <xf numFmtId="165" fontId="42" fillId="0" borderId="0" xfId="17" applyNumberFormat="1" applyFont="1"/>
    <xf numFmtId="165" fontId="5" fillId="0" borderId="0" xfId="17" applyNumberFormat="1"/>
    <xf numFmtId="165" fontId="5" fillId="0" borderId="57" xfId="17" applyNumberFormat="1" applyBorder="1"/>
    <xf numFmtId="4" fontId="8" fillId="26" borderId="37" xfId="17" applyNumberFormat="1" applyFont="1" applyFill="1" applyBorder="1"/>
    <xf numFmtId="165" fontId="8" fillId="26" borderId="37" xfId="17" applyNumberFormat="1" applyFont="1" applyFill="1" applyBorder="1"/>
    <xf numFmtId="179" fontId="0" fillId="0" borderId="0" xfId="0" applyNumberFormat="1"/>
    <xf numFmtId="164" fontId="5" fillId="2" borderId="3" xfId="1" applyFont="1" applyFill="1" applyBorder="1" applyAlignment="1">
      <alignment horizontal="center" vertical="center"/>
    </xf>
    <xf numFmtId="165" fontId="5" fillId="2" borderId="3" xfId="3" applyNumberFormat="1" applyFill="1" applyBorder="1" applyAlignment="1">
      <alignment horizontal="right" vertical="center"/>
    </xf>
    <xf numFmtId="165" fontId="0" fillId="2" borderId="3" xfId="1" applyNumberFormat="1" applyFont="1" applyFill="1" applyBorder="1" applyAlignment="1">
      <alignment horizontal="right"/>
    </xf>
    <xf numFmtId="7" fontId="5" fillId="2" borderId="3" xfId="3" applyNumberFormat="1" applyFill="1" applyBorder="1" applyAlignment="1">
      <alignment horizontal="right" vertical="center"/>
    </xf>
    <xf numFmtId="0" fontId="33" fillId="4" borderId="26" xfId="3" applyFont="1" applyFill="1" applyBorder="1" applyAlignment="1">
      <alignment vertical="center"/>
    </xf>
    <xf numFmtId="0" fontId="0" fillId="9" borderId="0" xfId="0" applyFill="1"/>
    <xf numFmtId="165" fontId="0" fillId="9" borderId="0" xfId="0" applyNumberFormat="1" applyFill="1"/>
    <xf numFmtId="0" fontId="0" fillId="2" borderId="0" xfId="0" applyFill="1" applyAlignment="1">
      <alignment horizontal="center" vertical="center"/>
    </xf>
    <xf numFmtId="165" fontId="0" fillId="2" borderId="0" xfId="0" applyNumberFormat="1" applyFill="1" applyAlignment="1">
      <alignment horizontal="right"/>
    </xf>
    <xf numFmtId="165" fontId="3" fillId="2" borderId="15" xfId="0" applyNumberFormat="1" applyFont="1" applyFill="1" applyBorder="1" applyAlignment="1">
      <alignment horizontal="right"/>
    </xf>
    <xf numFmtId="0" fontId="30" fillId="9" borderId="40" xfId="0" applyFont="1" applyFill="1" applyBorder="1"/>
    <xf numFmtId="0" fontId="31" fillId="9" borderId="17" xfId="0" applyFont="1" applyFill="1" applyBorder="1"/>
    <xf numFmtId="0" fontId="11" fillId="0" borderId="3" xfId="0" applyFont="1" applyBorder="1"/>
    <xf numFmtId="0" fontId="39" fillId="0" borderId="3" xfId="0" applyFont="1" applyBorder="1"/>
    <xf numFmtId="9" fontId="4" fillId="2" borderId="0" xfId="2" applyFont="1" applyFill="1"/>
    <xf numFmtId="16" fontId="4" fillId="2" borderId="0" xfId="0" applyNumberFormat="1" applyFont="1" applyFill="1" applyAlignment="1">
      <alignment horizontal="center" vertical="center"/>
    </xf>
    <xf numFmtId="7" fontId="4" fillId="2" borderId="0" xfId="0" applyNumberFormat="1" applyFont="1" applyFill="1"/>
    <xf numFmtId="164" fontId="4" fillId="2" borderId="0" xfId="0" applyNumberFormat="1" applyFont="1" applyFill="1"/>
    <xf numFmtId="168" fontId="4" fillId="2" borderId="0" xfId="0" applyNumberFormat="1" applyFont="1" applyFill="1"/>
    <xf numFmtId="169" fontId="4" fillId="2" borderId="0" xfId="0" applyNumberFormat="1" applyFont="1" applyFill="1"/>
    <xf numFmtId="8" fontId="4" fillId="2" borderId="0" xfId="0" applyNumberFormat="1" applyFont="1" applyFill="1"/>
    <xf numFmtId="164" fontId="4" fillId="2" borderId="0" xfId="1" applyFont="1" applyFill="1"/>
    <xf numFmtId="166" fontId="4" fillId="2" borderId="0" xfId="0" applyNumberFormat="1" applyFont="1" applyFill="1"/>
    <xf numFmtId="2" fontId="4" fillId="2" borderId="0" xfId="0" applyNumberFormat="1" applyFont="1" applyFill="1"/>
    <xf numFmtId="170" fontId="4" fillId="2" borderId="0" xfId="0" applyNumberFormat="1" applyFont="1" applyFill="1"/>
    <xf numFmtId="7" fontId="17" fillId="22" borderId="17" xfId="0" applyNumberFormat="1" applyFont="1" applyFill="1" applyBorder="1" applyAlignment="1">
      <alignment horizontal="right"/>
    </xf>
    <xf numFmtId="0" fontId="0" fillId="5" borderId="0" xfId="0" applyFill="1"/>
    <xf numFmtId="0" fontId="11" fillId="0" borderId="0" xfId="0" applyFont="1"/>
    <xf numFmtId="0" fontId="11" fillId="5" borderId="0" xfId="0" applyFont="1" applyFill="1"/>
    <xf numFmtId="0" fontId="0" fillId="4" borderId="0" xfId="0" applyFill="1"/>
    <xf numFmtId="4" fontId="0" fillId="2" borderId="0" xfId="0" applyNumberFormat="1" applyFill="1"/>
    <xf numFmtId="0" fontId="0" fillId="9" borderId="22" xfId="0" applyFill="1" applyBorder="1"/>
    <xf numFmtId="7" fontId="17" fillId="5" borderId="3" xfId="0" applyNumberFormat="1" applyFont="1" applyFill="1" applyBorder="1" applyAlignment="1">
      <alignment horizontal="right" vertical="center"/>
    </xf>
    <xf numFmtId="7" fontId="17" fillId="2" borderId="3" xfId="0" applyNumberFormat="1" applyFont="1" applyFill="1" applyBorder="1" applyAlignment="1">
      <alignment horizontal="right" vertical="center"/>
    </xf>
    <xf numFmtId="165" fontId="17" fillId="5" borderId="3" xfId="0" applyNumberFormat="1" applyFont="1" applyFill="1" applyBorder="1"/>
    <xf numFmtId="0" fontId="11" fillId="5" borderId="3" xfId="0" applyFont="1" applyFill="1" applyBorder="1"/>
    <xf numFmtId="165" fontId="17" fillId="4" borderId="3" xfId="0" applyNumberFormat="1" applyFont="1" applyFill="1" applyBorder="1"/>
    <xf numFmtId="0" fontId="0" fillId="9" borderId="3" xfId="0" applyFill="1" applyBorder="1"/>
    <xf numFmtId="0" fontId="0" fillId="4" borderId="46" xfId="0" applyFill="1" applyBorder="1"/>
    <xf numFmtId="7" fontId="0" fillId="4" borderId="3" xfId="24" applyNumberFormat="1" applyFont="1" applyFill="1" applyBorder="1"/>
    <xf numFmtId="0" fontId="2" fillId="4" borderId="4" xfId="0" applyFont="1" applyFill="1" applyBorder="1"/>
    <xf numFmtId="0" fontId="0" fillId="27" borderId="48" xfId="0" applyFill="1" applyBorder="1"/>
    <xf numFmtId="7" fontId="11" fillId="27" borderId="3" xfId="25" applyNumberFormat="1" applyFont="1" applyFill="1" applyBorder="1"/>
    <xf numFmtId="44" fontId="0" fillId="27" borderId="3" xfId="24" applyFont="1" applyFill="1" applyBorder="1"/>
    <xf numFmtId="10" fontId="0" fillId="27" borderId="3" xfId="2" applyNumberFormat="1" applyFont="1" applyFill="1" applyBorder="1" applyAlignment="1">
      <alignment horizontal="center"/>
    </xf>
    <xf numFmtId="0" fontId="0" fillId="28" borderId="47" xfId="0" applyFill="1" applyBorder="1"/>
    <xf numFmtId="7" fontId="0" fillId="28" borderId="3" xfId="24" applyNumberFormat="1" applyFont="1" applyFill="1" applyBorder="1"/>
    <xf numFmtId="44" fontId="0" fillId="28" borderId="3" xfId="24" applyFont="1" applyFill="1" applyBorder="1"/>
    <xf numFmtId="10" fontId="0" fillId="28" borderId="3" xfId="2" applyNumberFormat="1" applyFont="1" applyFill="1" applyBorder="1" applyAlignment="1">
      <alignment horizontal="center"/>
    </xf>
    <xf numFmtId="2" fontId="11" fillId="28" borderId="4" xfId="0" applyNumberFormat="1" applyFont="1" applyFill="1" applyBorder="1" applyAlignment="1">
      <alignment wrapText="1"/>
    </xf>
    <xf numFmtId="2" fontId="11" fillId="2" borderId="4" xfId="0" applyNumberFormat="1" applyFont="1" applyFill="1" applyBorder="1" applyAlignment="1">
      <alignment wrapText="1"/>
    </xf>
    <xf numFmtId="2" fontId="16" fillId="27" borderId="4" xfId="0" applyNumberFormat="1" applyFont="1" applyFill="1" applyBorder="1" applyAlignment="1">
      <alignment wrapText="1"/>
    </xf>
    <xf numFmtId="0" fontId="49" fillId="2" borderId="3" xfId="3" applyFont="1" applyFill="1" applyBorder="1" applyAlignment="1">
      <alignment horizontal="left" vertical="center"/>
    </xf>
    <xf numFmtId="2" fontId="42" fillId="2" borderId="3" xfId="2" applyNumberFormat="1" applyFont="1" applyFill="1" applyBorder="1" applyAlignment="1">
      <alignment horizontal="center" vertical="center"/>
    </xf>
    <xf numFmtId="0" fontId="42" fillId="2" borderId="3" xfId="3" applyFont="1" applyFill="1" applyBorder="1" applyAlignment="1">
      <alignment vertical="center"/>
    </xf>
    <xf numFmtId="2" fontId="42" fillId="2" borderId="3" xfId="3" applyNumberFormat="1" applyFont="1" applyFill="1" applyBorder="1" applyAlignment="1">
      <alignment horizontal="center" vertical="center"/>
    </xf>
    <xf numFmtId="4" fontId="42" fillId="2" borderId="3" xfId="3" applyNumberFormat="1" applyFont="1" applyFill="1" applyBorder="1" applyAlignment="1">
      <alignment horizontal="center" vertical="center"/>
    </xf>
    <xf numFmtId="165" fontId="42" fillId="2" borderId="3" xfId="3" applyNumberFormat="1" applyFont="1" applyFill="1" applyBorder="1" applyAlignment="1">
      <alignment horizontal="right" vertical="center"/>
    </xf>
    <xf numFmtId="1" fontId="42" fillId="2" borderId="3" xfId="3" applyNumberFormat="1" applyFont="1" applyFill="1" applyBorder="1" applyAlignment="1">
      <alignment horizontal="center" vertical="center"/>
    </xf>
    <xf numFmtId="7" fontId="42" fillId="2" borderId="3" xfId="3" applyNumberFormat="1" applyFont="1" applyFill="1" applyBorder="1" applyAlignment="1">
      <alignment horizontal="center" vertical="center"/>
    </xf>
    <xf numFmtId="165" fontId="47" fillId="2" borderId="3" xfId="3" applyNumberFormat="1" applyFont="1" applyFill="1" applyBorder="1" applyAlignment="1">
      <alignment horizontal="center" vertical="center"/>
    </xf>
    <xf numFmtId="7" fontId="42" fillId="2" borderId="3" xfId="3" applyNumberFormat="1" applyFont="1" applyFill="1" applyBorder="1" applyAlignment="1">
      <alignment horizontal="right" vertical="center"/>
    </xf>
    <xf numFmtId="165" fontId="16" fillId="5" borderId="3" xfId="0" applyNumberFormat="1" applyFont="1" applyFill="1" applyBorder="1"/>
    <xf numFmtId="0" fontId="2" fillId="0" borderId="8" xfId="0" applyFont="1" applyBorder="1"/>
    <xf numFmtId="7" fontId="16" fillId="0" borderId="13" xfId="1" applyNumberFormat="1" applyFont="1" applyBorder="1"/>
    <xf numFmtId="7" fontId="16" fillId="0" borderId="1" xfId="1" applyNumberFormat="1" applyFont="1" applyBorder="1"/>
    <xf numFmtId="7" fontId="16" fillId="23" borderId="20" xfId="1" applyNumberFormat="1" applyFont="1" applyFill="1" applyBorder="1"/>
    <xf numFmtId="8" fontId="34" fillId="2" borderId="5" xfId="0" applyNumberFormat="1" applyFont="1" applyFill="1" applyBorder="1" applyAlignment="1">
      <alignment horizontal="right" vertical="center"/>
    </xf>
    <xf numFmtId="7" fontId="16" fillId="23" borderId="3" xfId="1" applyNumberFormat="1" applyFont="1" applyFill="1" applyBorder="1"/>
    <xf numFmtId="7" fontId="0" fillId="2" borderId="3" xfId="1" applyNumberFormat="1" applyFont="1" applyFill="1" applyBorder="1" applyAlignment="1">
      <alignment horizontal="right" vertical="center"/>
    </xf>
    <xf numFmtId="8" fontId="2" fillId="0" borderId="3" xfId="0" applyNumberFormat="1" applyFont="1" applyBorder="1"/>
    <xf numFmtId="164" fontId="50" fillId="0" borderId="0" xfId="1" applyFont="1"/>
    <xf numFmtId="164" fontId="51" fillId="0" borderId="17" xfId="1" applyFont="1" applyBorder="1"/>
    <xf numFmtId="164" fontId="51" fillId="0" borderId="5" xfId="1" applyFont="1" applyBorder="1"/>
    <xf numFmtId="7" fontId="2" fillId="0" borderId="3" xfId="1" applyNumberFormat="1" applyFont="1" applyBorder="1"/>
    <xf numFmtId="7" fontId="2" fillId="2" borderId="3" xfId="1" applyNumberFormat="1" applyFont="1" applyFill="1" applyBorder="1"/>
    <xf numFmtId="7" fontId="2" fillId="0" borderId="13" xfId="1" applyNumberFormat="1" applyFont="1" applyBorder="1"/>
    <xf numFmtId="7" fontId="2" fillId="0" borderId="0" xfId="1" applyNumberFormat="1" applyFont="1" applyBorder="1"/>
    <xf numFmtId="7" fontId="2" fillId="0" borderId="5" xfId="1" applyNumberFormat="1" applyFont="1" applyBorder="1"/>
    <xf numFmtId="8" fontId="0" fillId="0" borderId="0" xfId="0" applyNumberFormat="1"/>
    <xf numFmtId="0" fontId="3" fillId="8" borderId="0" xfId="0" applyFont="1" applyFill="1" applyAlignment="1">
      <alignment horizontal="center" vertical="center" wrapText="1"/>
    </xf>
    <xf numFmtId="0" fontId="3" fillId="6" borderId="0" xfId="0" applyFont="1" applyFill="1" applyAlignment="1">
      <alignment horizontal="center" vertical="center"/>
    </xf>
    <xf numFmtId="7" fontId="17" fillId="22" borderId="0" xfId="0" applyNumberFormat="1" applyFont="1" applyFill="1" applyAlignment="1">
      <alignment horizontal="right"/>
    </xf>
    <xf numFmtId="7" fontId="0" fillId="0" borderId="0" xfId="0" applyNumberFormat="1" applyAlignment="1">
      <alignment horizontal="right"/>
    </xf>
    <xf numFmtId="7" fontId="3" fillId="22" borderId="0" xfId="0" applyNumberFormat="1" applyFont="1" applyFill="1" applyAlignment="1">
      <alignment horizontal="right"/>
    </xf>
    <xf numFmtId="7" fontId="3" fillId="23" borderId="0" xfId="0" applyNumberFormat="1" applyFont="1" applyFill="1" applyAlignment="1">
      <alignment horizontal="right"/>
    </xf>
    <xf numFmtId="7" fontId="3" fillId="23" borderId="0" xfId="1" applyNumberFormat="1" applyFont="1" applyFill="1" applyBorder="1"/>
    <xf numFmtId="165" fontId="8" fillId="11" borderId="0" xfId="3" applyNumberFormat="1" applyFont="1" applyFill="1" applyAlignment="1">
      <alignment horizontal="center" vertical="center"/>
    </xf>
    <xf numFmtId="7" fontId="8" fillId="11" borderId="0" xfId="3" applyNumberFormat="1" applyFont="1" applyFill="1" applyAlignment="1">
      <alignment horizontal="center" vertical="center"/>
    </xf>
    <xf numFmtId="165" fontId="0" fillId="2" borderId="0" xfId="0" applyNumberFormat="1" applyFill="1" applyAlignment="1">
      <alignment horizontal="center" vertical="center"/>
    </xf>
    <xf numFmtId="165" fontId="10" fillId="4" borderId="0" xfId="3" applyNumberFormat="1" applyFont="1" applyFill="1" applyAlignment="1">
      <alignment horizontal="right" vertical="center" indent="1"/>
    </xf>
    <xf numFmtId="4" fontId="17" fillId="12" borderId="0" xfId="0" applyNumberFormat="1" applyFont="1" applyFill="1" applyAlignment="1">
      <alignment horizontal="center"/>
    </xf>
    <xf numFmtId="7" fontId="42" fillId="2" borderId="0" xfId="3" applyNumberFormat="1" applyFont="1" applyFill="1" applyAlignment="1">
      <alignment horizontal="right" vertical="center"/>
    </xf>
    <xf numFmtId="165" fontId="22" fillId="12" borderId="0" xfId="0" applyNumberFormat="1" applyFont="1" applyFill="1"/>
    <xf numFmtId="165" fontId="3" fillId="9" borderId="0" xfId="0" applyNumberFormat="1" applyFont="1" applyFill="1" applyAlignment="1">
      <alignment horizontal="center"/>
    </xf>
    <xf numFmtId="165" fontId="3" fillId="9" borderId="0" xfId="0" applyNumberFormat="1" applyFont="1" applyFill="1" applyAlignment="1">
      <alignment horizontal="right"/>
    </xf>
    <xf numFmtId="165" fontId="3" fillId="2" borderId="0" xfId="0" applyNumberFormat="1" applyFont="1" applyFill="1" applyAlignment="1">
      <alignment horizontal="right"/>
    </xf>
    <xf numFmtId="165" fontId="10" fillId="4" borderId="0" xfId="3" applyNumberFormat="1" applyFont="1" applyFill="1" applyAlignment="1">
      <alignment horizontal="right" vertical="center"/>
    </xf>
    <xf numFmtId="165" fontId="8" fillId="7" borderId="0" xfId="3" applyNumberFormat="1" applyFont="1" applyFill="1" applyAlignment="1">
      <alignment horizontal="center" vertical="center"/>
    </xf>
    <xf numFmtId="7" fontId="0" fillId="0" borderId="0" xfId="1" applyNumberFormat="1" applyFont="1" applyBorder="1"/>
    <xf numFmtId="7" fontId="3" fillId="13" borderId="0" xfId="0" applyNumberFormat="1" applyFont="1" applyFill="1" applyAlignment="1">
      <alignment horizontal="right" vertical="center"/>
    </xf>
    <xf numFmtId="7" fontId="15" fillId="14" borderId="0" xfId="1" applyNumberFormat="1" applyFont="1" applyFill="1" applyBorder="1"/>
    <xf numFmtId="7" fontId="3" fillId="15" borderId="0" xfId="0" applyNumberFormat="1" applyFont="1" applyFill="1"/>
    <xf numFmtId="7" fontId="2" fillId="22" borderId="17" xfId="1" applyNumberFormat="1" applyFont="1" applyFill="1" applyBorder="1" applyAlignment="1">
      <alignment horizontal="right" vertical="center"/>
    </xf>
    <xf numFmtId="7" fontId="0" fillId="23" borderId="3" xfId="1" applyNumberFormat="1" applyFont="1" applyFill="1" applyBorder="1"/>
    <xf numFmtId="0" fontId="3" fillId="2" borderId="0" xfId="0" applyFont="1" applyFill="1" applyAlignment="1">
      <alignment horizontal="center" vertical="center" wrapText="1"/>
    </xf>
    <xf numFmtId="0" fontId="3" fillId="2" borderId="0" xfId="0" applyFont="1" applyFill="1" applyAlignment="1">
      <alignment horizontal="center" vertical="center"/>
    </xf>
    <xf numFmtId="7" fontId="17" fillId="2" borderId="0" xfId="0" applyNumberFormat="1" applyFont="1" applyFill="1" applyAlignment="1">
      <alignment horizontal="right"/>
    </xf>
    <xf numFmtId="7" fontId="3" fillId="2" borderId="0" xfId="0" applyNumberFormat="1" applyFont="1" applyFill="1" applyAlignment="1">
      <alignment horizontal="right"/>
    </xf>
    <xf numFmtId="7" fontId="3" fillId="2" borderId="0" xfId="1" applyNumberFormat="1" applyFont="1" applyFill="1" applyBorder="1"/>
    <xf numFmtId="165" fontId="8" fillId="2" borderId="0" xfId="3" applyNumberFormat="1" applyFont="1" applyFill="1" applyAlignment="1">
      <alignment horizontal="center" vertical="center"/>
    </xf>
    <xf numFmtId="4" fontId="17" fillId="2" borderId="0" xfId="0" applyNumberFormat="1" applyFont="1" applyFill="1" applyAlignment="1">
      <alignment horizontal="center"/>
    </xf>
    <xf numFmtId="165" fontId="3" fillId="2" borderId="0" xfId="0" applyNumberFormat="1" applyFont="1" applyFill="1" applyAlignment="1">
      <alignment horizontal="center"/>
    </xf>
    <xf numFmtId="165" fontId="10" fillId="2" borderId="0" xfId="3" applyNumberFormat="1" applyFont="1" applyFill="1" applyAlignment="1">
      <alignment horizontal="right" vertical="center"/>
    </xf>
    <xf numFmtId="7" fontId="3" fillId="2" borderId="0" xfId="1" applyNumberFormat="1" applyFont="1" applyFill="1" applyBorder="1" applyAlignment="1">
      <alignment horizontal="right"/>
    </xf>
    <xf numFmtId="7" fontId="0" fillId="2" borderId="0" xfId="0" applyNumberFormat="1" applyFill="1"/>
    <xf numFmtId="7" fontId="3" fillId="2" borderId="0" xfId="0" applyNumberFormat="1" applyFont="1" applyFill="1" applyAlignment="1">
      <alignment horizontal="right" vertical="center"/>
    </xf>
    <xf numFmtId="7" fontId="15" fillId="2" borderId="0" xfId="1" applyNumberFormat="1" applyFont="1" applyFill="1" applyBorder="1"/>
    <xf numFmtId="7" fontId="3" fillId="2" borderId="0" xfId="0" applyNumberFormat="1" applyFont="1" applyFill="1"/>
    <xf numFmtId="8" fontId="34" fillId="22" borderId="17" xfId="0" applyNumberFormat="1" applyFont="1" applyFill="1" applyBorder="1" applyAlignment="1">
      <alignment horizontal="right" vertical="center"/>
    </xf>
    <xf numFmtId="8" fontId="34" fillId="2" borderId="17" xfId="0" applyNumberFormat="1" applyFont="1" applyFill="1" applyBorder="1" applyAlignment="1">
      <alignment horizontal="right"/>
    </xf>
    <xf numFmtId="8" fontId="13" fillId="2" borderId="8" xfId="3" applyNumberFormat="1" applyFont="1" applyFill="1" applyBorder="1" applyAlignment="1">
      <alignment vertical="center"/>
    </xf>
    <xf numFmtId="7" fontId="54" fillId="0" borderId="17" xfId="1" applyNumberFormat="1" applyFont="1" applyBorder="1" applyAlignment="1">
      <alignment horizontal="right" vertical="center"/>
    </xf>
    <xf numFmtId="7" fontId="55" fillId="0" borderId="17" xfId="1" applyNumberFormat="1" applyFont="1" applyBorder="1" applyAlignment="1">
      <alignment horizontal="right"/>
    </xf>
    <xf numFmtId="7" fontId="16" fillId="5" borderId="17" xfId="1" applyNumberFormat="1" applyFont="1" applyFill="1" applyBorder="1"/>
    <xf numFmtId="7" fontId="16" fillId="5" borderId="3" xfId="1" applyNumberFormat="1" applyFont="1" applyFill="1" applyBorder="1"/>
    <xf numFmtId="7" fontId="16" fillId="5" borderId="5" xfId="1" applyNumberFormat="1" applyFont="1" applyFill="1" applyBorder="1"/>
    <xf numFmtId="7" fontId="16" fillId="5" borderId="13" xfId="1" applyNumberFormat="1" applyFont="1" applyFill="1" applyBorder="1"/>
    <xf numFmtId="7" fontId="0" fillId="5" borderId="17" xfId="1" applyNumberFormat="1" applyFont="1" applyFill="1" applyBorder="1" applyAlignment="1">
      <alignment horizontal="right" vertical="center"/>
    </xf>
    <xf numFmtId="7" fontId="0" fillId="0" borderId="14" xfId="1" applyNumberFormat="1" applyFont="1" applyBorder="1" applyAlignment="1">
      <alignment horizontal="right" vertical="center"/>
    </xf>
    <xf numFmtId="7" fontId="0" fillId="5" borderId="3" xfId="1" applyNumberFormat="1" applyFont="1" applyFill="1" applyBorder="1" applyAlignment="1">
      <alignment horizontal="right" vertical="center"/>
    </xf>
    <xf numFmtId="7" fontId="30" fillId="5" borderId="17" xfId="1" applyNumberFormat="1" applyFont="1" applyFill="1" applyBorder="1" applyAlignment="1">
      <alignment horizontal="right"/>
    </xf>
    <xf numFmtId="7" fontId="3" fillId="0" borderId="17" xfId="1" applyNumberFormat="1" applyFont="1" applyBorder="1" applyAlignment="1">
      <alignment horizontal="center" vertical="center"/>
    </xf>
    <xf numFmtId="165" fontId="19" fillId="2" borderId="0" xfId="3" applyNumberFormat="1" applyFont="1" applyFill="1" applyAlignment="1">
      <alignment horizontal="center" vertical="center"/>
    </xf>
    <xf numFmtId="165" fontId="19" fillId="11" borderId="0" xfId="3" applyNumberFormat="1" applyFont="1" applyFill="1" applyAlignment="1">
      <alignment horizontal="center" vertical="center"/>
    </xf>
    <xf numFmtId="0" fontId="3" fillId="6" borderId="58" xfId="0" applyFont="1" applyFill="1" applyBorder="1" applyAlignment="1">
      <alignment horizontal="left" vertical="center"/>
    </xf>
    <xf numFmtId="0" fontId="3" fillId="2" borderId="0" xfId="0" applyFont="1" applyFill="1" applyAlignment="1">
      <alignment horizontal="left" vertical="center"/>
    </xf>
    <xf numFmtId="165" fontId="10" fillId="4" borderId="26" xfId="3" applyNumberFormat="1" applyFont="1" applyFill="1" applyBorder="1" applyAlignment="1">
      <alignment horizontal="center" vertical="center"/>
    </xf>
    <xf numFmtId="165" fontId="0" fillId="0" borderId="14" xfId="0" applyNumberFormat="1" applyBorder="1" applyAlignment="1">
      <alignment horizontal="right"/>
    </xf>
    <xf numFmtId="9" fontId="3" fillId="0" borderId="18" xfId="2" applyFont="1" applyBorder="1" applyAlignment="1">
      <alignment horizontal="center" vertical="center"/>
    </xf>
    <xf numFmtId="164" fontId="50" fillId="2" borderId="5" xfId="1" applyFont="1" applyFill="1" applyBorder="1"/>
    <xf numFmtId="164" fontId="50" fillId="0" borderId="5" xfId="1" applyFont="1" applyBorder="1"/>
    <xf numFmtId="7" fontId="2" fillId="5" borderId="3" xfId="1" applyNumberFormat="1" applyFont="1" applyFill="1" applyBorder="1"/>
    <xf numFmtId="8" fontId="34" fillId="5" borderId="17" xfId="0" applyNumberFormat="1" applyFont="1" applyFill="1" applyBorder="1" applyAlignment="1">
      <alignment horizontal="right"/>
    </xf>
    <xf numFmtId="7" fontId="30" fillId="0" borderId="3" xfId="1" applyNumberFormat="1" applyFont="1" applyBorder="1" applyAlignment="1">
      <alignment horizontal="right"/>
    </xf>
    <xf numFmtId="164" fontId="51" fillId="0" borderId="3" xfId="1" applyFont="1" applyBorder="1"/>
    <xf numFmtId="165" fontId="3" fillId="0" borderId="18" xfId="2" applyNumberFormat="1" applyFont="1" applyBorder="1" applyAlignment="1">
      <alignment horizontal="center" vertical="center"/>
    </xf>
    <xf numFmtId="0" fontId="3" fillId="6" borderId="26" xfId="0" applyFont="1" applyFill="1" applyBorder="1" applyAlignment="1">
      <alignment horizontal="left" vertical="center"/>
    </xf>
    <xf numFmtId="0" fontId="3" fillId="8" borderId="3" xfId="0" applyFont="1" applyFill="1" applyBorder="1" applyAlignment="1">
      <alignment horizontal="center" vertical="center"/>
    </xf>
    <xf numFmtId="44" fontId="3" fillId="0" borderId="41" xfId="24" applyFont="1" applyBorder="1"/>
    <xf numFmtId="0" fontId="3" fillId="8" borderId="3" xfId="0" applyFont="1" applyFill="1" applyBorder="1" applyAlignment="1">
      <alignment horizontal="center" vertical="center" wrapText="1"/>
    </xf>
    <xf numFmtId="44" fontId="3" fillId="0" borderId="18" xfId="2" applyNumberFormat="1" applyFont="1" applyBorder="1" applyAlignment="1">
      <alignment horizontal="center" vertical="center"/>
    </xf>
    <xf numFmtId="7" fontId="0" fillId="2" borderId="3" xfId="24" applyNumberFormat="1" applyFont="1" applyFill="1" applyBorder="1"/>
    <xf numFmtId="10" fontId="0" fillId="2" borderId="1" xfId="2" applyNumberFormat="1" applyFont="1" applyFill="1" applyBorder="1" applyAlignment="1">
      <alignment horizontal="center"/>
    </xf>
    <xf numFmtId="10" fontId="0" fillId="0" borderId="1" xfId="2" applyNumberFormat="1" applyFont="1" applyBorder="1" applyAlignment="1">
      <alignment horizontal="center"/>
    </xf>
    <xf numFmtId="10" fontId="0" fillId="4" borderId="1" xfId="2" applyNumberFormat="1" applyFont="1" applyFill="1" applyBorder="1" applyAlignment="1">
      <alignment horizontal="center"/>
    </xf>
    <xf numFmtId="7" fontId="11" fillId="2" borderId="3" xfId="25" applyNumberFormat="1" applyFont="1" applyFill="1" applyBorder="1"/>
    <xf numFmtId="7" fontId="0" fillId="4" borderId="0" xfId="0" applyNumberFormat="1" applyFill="1"/>
    <xf numFmtId="44" fontId="0" fillId="2" borderId="17" xfId="24" applyFont="1" applyFill="1" applyBorder="1"/>
    <xf numFmtId="44" fontId="0" fillId="0" borderId="17" xfId="24" applyFont="1" applyBorder="1"/>
    <xf numFmtId="10" fontId="0" fillId="0" borderId="17" xfId="2" applyNumberFormat="1" applyFont="1" applyBorder="1" applyAlignment="1">
      <alignment horizontal="center"/>
    </xf>
    <xf numFmtId="0" fontId="16" fillId="2" borderId="19" xfId="0" applyFont="1" applyFill="1" applyBorder="1"/>
    <xf numFmtId="0" fontId="0" fillId="0" borderId="3" xfId="0" applyBorder="1" applyAlignment="1">
      <alignment horizontal="center"/>
    </xf>
    <xf numFmtId="0" fontId="3" fillId="0" borderId="17" xfId="0" applyFont="1" applyBorder="1"/>
    <xf numFmtId="0" fontId="0" fillId="0" borderId="60" xfId="0" applyBorder="1"/>
    <xf numFmtId="0" fontId="0" fillId="0" borderId="26" xfId="0" applyBorder="1"/>
    <xf numFmtId="7" fontId="0" fillId="2" borderId="17" xfId="24" applyNumberFormat="1" applyFont="1" applyFill="1" applyBorder="1"/>
    <xf numFmtId="0" fontId="0" fillId="2" borderId="47" xfId="0" applyFill="1" applyBorder="1"/>
    <xf numFmtId="0" fontId="0" fillId="4" borderId="3" xfId="0" applyFill="1" applyBorder="1"/>
    <xf numFmtId="0" fontId="4" fillId="2" borderId="3" xfId="0" applyFont="1" applyFill="1" applyBorder="1" applyAlignment="1">
      <alignment horizontal="center"/>
    </xf>
    <xf numFmtId="0" fontId="32" fillId="2" borderId="1" xfId="3" applyFont="1" applyFill="1" applyBorder="1" applyAlignment="1">
      <alignment horizontal="left" vertical="center"/>
    </xf>
    <xf numFmtId="0" fontId="32" fillId="2" borderId="18" xfId="3" applyFont="1" applyFill="1" applyBorder="1" applyAlignment="1">
      <alignment horizontal="left" vertical="center"/>
    </xf>
    <xf numFmtId="0" fontId="0" fillId="0" borderId="46" xfId="0" applyBorder="1"/>
    <xf numFmtId="0" fontId="0" fillId="0" borderId="24" xfId="0" applyBorder="1"/>
    <xf numFmtId="7" fontId="0" fillId="2" borderId="4" xfId="24" applyNumberFormat="1" applyFont="1" applyFill="1" applyBorder="1"/>
    <xf numFmtId="44" fontId="11" fillId="2" borderId="3" xfId="25" applyNumberFormat="1" applyFont="1" applyFill="1" applyBorder="1"/>
    <xf numFmtId="44" fontId="11" fillId="2" borderId="4" xfId="25" applyNumberFormat="1" applyFont="1" applyFill="1" applyBorder="1"/>
    <xf numFmtId="164" fontId="11" fillId="2" borderId="3" xfId="25" applyNumberFormat="1" applyFont="1" applyFill="1" applyBorder="1"/>
    <xf numFmtId="44" fontId="0" fillId="2" borderId="17" xfId="0" applyNumberFormat="1" applyFill="1" applyBorder="1" applyAlignment="1">
      <alignment horizontal="right"/>
    </xf>
    <xf numFmtId="164" fontId="0" fillId="4" borderId="3" xfId="24" applyNumberFormat="1" applyFont="1" applyFill="1" applyBorder="1"/>
    <xf numFmtId="7" fontId="16" fillId="22" borderId="3" xfId="1" applyNumberFormat="1" applyFont="1" applyFill="1" applyBorder="1"/>
    <xf numFmtId="164" fontId="0" fillId="4" borderId="3" xfId="1" applyFont="1" applyFill="1" applyBorder="1"/>
    <xf numFmtId="0" fontId="0" fillId="5" borderId="3" xfId="0" applyFill="1" applyBorder="1"/>
    <xf numFmtId="7" fontId="0" fillId="5" borderId="17" xfId="24" applyNumberFormat="1" applyFont="1" applyFill="1" applyBorder="1"/>
    <xf numFmtId="44" fontId="0" fillId="5" borderId="17" xfId="24" applyFont="1" applyFill="1" applyBorder="1"/>
    <xf numFmtId="10" fontId="0" fillId="5" borderId="17" xfId="2" applyNumberFormat="1" applyFont="1" applyFill="1" applyBorder="1" applyAlignment="1">
      <alignment horizontal="center"/>
    </xf>
    <xf numFmtId="164" fontId="0" fillId="22" borderId="3" xfId="1" applyFont="1" applyFill="1" applyBorder="1"/>
    <xf numFmtId="0" fontId="5" fillId="11" borderId="10" xfId="3" applyFill="1" applyBorder="1" applyAlignment="1">
      <alignment vertical="center"/>
    </xf>
    <xf numFmtId="2" fontId="18" fillId="11" borderId="10" xfId="3" applyNumberFormat="1" applyFont="1" applyFill="1" applyBorder="1" applyAlignment="1">
      <alignment horizontal="center" vertical="center"/>
    </xf>
    <xf numFmtId="4" fontId="19" fillId="11" borderId="10" xfId="3" applyNumberFormat="1" applyFont="1" applyFill="1" applyBorder="1" applyAlignment="1">
      <alignment horizontal="center" vertical="center"/>
    </xf>
    <xf numFmtId="2" fontId="18" fillId="11" borderId="61" xfId="3" applyNumberFormat="1" applyFont="1" applyFill="1" applyBorder="1" applyAlignment="1">
      <alignment horizontal="center" vertical="center"/>
    </xf>
    <xf numFmtId="164" fontId="0" fillId="2" borderId="3" xfId="1" applyFont="1" applyFill="1" applyBorder="1"/>
    <xf numFmtId="164" fontId="0" fillId="2" borderId="3" xfId="1" applyFont="1" applyFill="1" applyBorder="1" applyAlignment="1">
      <alignment horizontal="center" vertical="center"/>
    </xf>
    <xf numFmtId="164" fontId="0" fillId="2" borderId="3" xfId="1" applyFont="1" applyFill="1" applyBorder="1" applyAlignment="1">
      <alignment horizontal="center"/>
    </xf>
    <xf numFmtId="171" fontId="0" fillId="2" borderId="3" xfId="1" applyNumberFormat="1" applyFont="1" applyFill="1" applyBorder="1" applyAlignment="1">
      <alignment horizontal="center" vertical="center"/>
    </xf>
    <xf numFmtId="171" fontId="38" fillId="2" borderId="3" xfId="1" applyNumberFormat="1" applyFont="1" applyFill="1" applyBorder="1" applyAlignment="1">
      <alignment horizontal="center" vertical="center"/>
    </xf>
    <xf numFmtId="171" fontId="2" fillId="2" borderId="3" xfId="1" applyNumberFormat="1" applyFont="1" applyFill="1" applyBorder="1" applyAlignment="1">
      <alignment horizontal="center" vertical="center"/>
    </xf>
    <xf numFmtId="7" fontId="16" fillId="2" borderId="3" xfId="1" applyNumberFormat="1" applyFont="1" applyFill="1" applyBorder="1"/>
    <xf numFmtId="7" fontId="39" fillId="2" borderId="3" xfId="1" applyNumberFormat="1" applyFont="1" applyFill="1" applyBorder="1" applyAlignment="1">
      <alignment horizontal="right"/>
    </xf>
    <xf numFmtId="7" fontId="3" fillId="2" borderId="3" xfId="1" applyNumberFormat="1" applyFont="1" applyFill="1" applyBorder="1" applyAlignment="1">
      <alignment horizontal="center" vertical="center"/>
    </xf>
    <xf numFmtId="7" fontId="0" fillId="22" borderId="5" xfId="1" applyNumberFormat="1" applyFont="1" applyFill="1" applyBorder="1"/>
    <xf numFmtId="7" fontId="16" fillId="22" borderId="18" xfId="1" applyNumberFormat="1" applyFont="1" applyFill="1" applyBorder="1" applyAlignment="1">
      <alignment horizontal="center" vertical="center"/>
    </xf>
    <xf numFmtId="7" fontId="56" fillId="22" borderId="17" xfId="1" applyNumberFormat="1" applyFont="1" applyFill="1" applyBorder="1" applyAlignment="1">
      <alignment horizontal="right"/>
    </xf>
    <xf numFmtId="7" fontId="16" fillId="22" borderId="5" xfId="1" applyNumberFormat="1" applyFont="1" applyFill="1" applyBorder="1"/>
    <xf numFmtId="164" fontId="0" fillId="0" borderId="3" xfId="0" applyNumberFormat="1" applyBorder="1" applyAlignment="1">
      <alignment horizontal="center" vertical="center"/>
    </xf>
    <xf numFmtId="9" fontId="3" fillId="2" borderId="5" xfId="1" applyNumberFormat="1" applyFont="1" applyFill="1" applyBorder="1" applyAlignment="1">
      <alignment horizontal="center" vertical="center"/>
    </xf>
    <xf numFmtId="7" fontId="0" fillId="0" borderId="5" xfId="0" applyNumberFormat="1" applyBorder="1"/>
    <xf numFmtId="165" fontId="19" fillId="11" borderId="1" xfId="3" applyNumberFormat="1" applyFont="1" applyFill="1" applyBorder="1" applyAlignment="1">
      <alignment horizontal="center" vertical="center"/>
    </xf>
    <xf numFmtId="164" fontId="57" fillId="11" borderId="2" xfId="1" applyFont="1" applyFill="1" applyBorder="1" applyAlignment="1">
      <alignment horizontal="center" vertical="center"/>
    </xf>
    <xf numFmtId="2" fontId="18" fillId="11" borderId="2" xfId="3" applyNumberFormat="1" applyFont="1" applyFill="1" applyBorder="1" applyAlignment="1">
      <alignment horizontal="center" vertical="center"/>
    </xf>
    <xf numFmtId="2" fontId="18" fillId="11" borderId="4" xfId="3" applyNumberFormat="1" applyFont="1" applyFill="1" applyBorder="1" applyAlignment="1">
      <alignment horizontal="center" vertical="center"/>
    </xf>
    <xf numFmtId="7" fontId="8" fillId="11" borderId="62" xfId="3" applyNumberFormat="1" applyFont="1" applyFill="1" applyBorder="1" applyAlignment="1">
      <alignment horizontal="center" vertical="center"/>
    </xf>
    <xf numFmtId="165" fontId="19" fillId="11" borderId="2" xfId="3" applyNumberFormat="1" applyFont="1" applyFill="1" applyBorder="1" applyAlignment="1">
      <alignment horizontal="center" vertical="center"/>
    </xf>
    <xf numFmtId="165" fontId="19" fillId="11" borderId="4" xfId="3" applyNumberFormat="1" applyFont="1" applyFill="1" applyBorder="1" applyAlignment="1">
      <alignment horizontal="center" vertical="center"/>
    </xf>
    <xf numFmtId="0" fontId="3" fillId="0" borderId="15" xfId="0" applyFont="1" applyBorder="1"/>
    <xf numFmtId="0" fontId="11" fillId="2" borderId="3" xfId="0" applyFont="1" applyFill="1" applyBorder="1"/>
    <xf numFmtId="0" fontId="11" fillId="2" borderId="3" xfId="0" applyFont="1" applyFill="1" applyBorder="1" applyAlignment="1">
      <alignment horizontal="center"/>
    </xf>
    <xf numFmtId="0" fontId="17" fillId="17" borderId="59" xfId="0" applyFont="1" applyFill="1" applyBorder="1"/>
    <xf numFmtId="0" fontId="0" fillId="29" borderId="3" xfId="0" applyFill="1" applyBorder="1"/>
    <xf numFmtId="7" fontId="0" fillId="29" borderId="17" xfId="24" applyNumberFormat="1" applyFont="1" applyFill="1" applyBorder="1"/>
    <xf numFmtId="44" fontId="0" fillId="29" borderId="17" xfId="24" applyFont="1" applyFill="1" applyBorder="1"/>
    <xf numFmtId="10" fontId="0" fillId="29" borderId="17" xfId="2" applyNumberFormat="1" applyFont="1" applyFill="1" applyBorder="1" applyAlignment="1">
      <alignment horizontal="center"/>
    </xf>
    <xf numFmtId="44" fontId="0" fillId="4" borderId="0" xfId="0" applyNumberFormat="1" applyFill="1"/>
    <xf numFmtId="0" fontId="58" fillId="2" borderId="3" xfId="3" applyFont="1" applyFill="1" applyBorder="1" applyAlignment="1">
      <alignment horizontal="left" vertical="center"/>
    </xf>
    <xf numFmtId="0" fontId="0" fillId="23" borderId="3" xfId="0" applyFill="1" applyBorder="1"/>
    <xf numFmtId="7" fontId="0" fillId="23" borderId="17" xfId="24" applyNumberFormat="1" applyFont="1" applyFill="1" applyBorder="1"/>
    <xf numFmtId="44" fontId="0" fillId="23" borderId="17" xfId="24" applyFont="1" applyFill="1" applyBorder="1"/>
    <xf numFmtId="10" fontId="0" fillId="23" borderId="17" xfId="2" applyNumberFormat="1" applyFont="1" applyFill="1" applyBorder="1" applyAlignment="1">
      <alignment horizontal="center"/>
    </xf>
    <xf numFmtId="0" fontId="59" fillId="2" borderId="3" xfId="0" applyFont="1" applyFill="1" applyBorder="1" applyAlignment="1">
      <alignment wrapText="1"/>
    </xf>
    <xf numFmtId="0" fontId="17" fillId="17" borderId="59" xfId="0" applyFont="1" applyFill="1" applyBorder="1" applyAlignment="1">
      <alignment horizontal="center"/>
    </xf>
    <xf numFmtId="0" fontId="0" fillId="12" borderId="17" xfId="0" applyFill="1" applyBorder="1"/>
    <xf numFmtId="7" fontId="0" fillId="12" borderId="17" xfId="0" applyNumberFormat="1" applyFill="1" applyBorder="1"/>
    <xf numFmtId="165" fontId="0" fillId="29" borderId="3" xfId="0" applyNumberFormat="1" applyFill="1" applyBorder="1"/>
    <xf numFmtId="0" fontId="0" fillId="22" borderId="3" xfId="0" applyFill="1" applyBorder="1"/>
    <xf numFmtId="7" fontId="0" fillId="22" borderId="17" xfId="24" applyNumberFormat="1" applyFont="1" applyFill="1" applyBorder="1"/>
    <xf numFmtId="44" fontId="0" fillId="22" borderId="17" xfId="24" applyFont="1" applyFill="1" applyBorder="1"/>
    <xf numFmtId="10" fontId="0" fillId="22" borderId="17" xfId="2" applyNumberFormat="1" applyFont="1" applyFill="1" applyBorder="1" applyAlignment="1">
      <alignment horizontal="center"/>
    </xf>
    <xf numFmtId="7" fontId="17" fillId="17" borderId="59" xfId="0" applyNumberFormat="1" applyFont="1" applyFill="1" applyBorder="1"/>
    <xf numFmtId="7" fontId="23" fillId="0" borderId="22" xfId="24" applyNumberFormat="1" applyFont="1" applyBorder="1"/>
    <xf numFmtId="0" fontId="43" fillId="17" borderId="15" xfId="0" applyFont="1" applyFill="1" applyBorder="1"/>
    <xf numFmtId="44" fontId="23" fillId="0" borderId="41" xfId="24" applyFont="1" applyBorder="1"/>
    <xf numFmtId="44" fontId="23" fillId="0" borderId="37" xfId="24" applyFont="1" applyBorder="1"/>
    <xf numFmtId="9" fontId="23" fillId="0" borderId="37" xfId="2" applyFont="1" applyBorder="1" applyAlignment="1">
      <alignment horizontal="center"/>
    </xf>
    <xf numFmtId="0" fontId="3" fillId="12" borderId="5" xfId="0" applyFont="1" applyFill="1" applyBorder="1"/>
    <xf numFmtId="7" fontId="0" fillId="12" borderId="8" xfId="1" applyNumberFormat="1" applyFont="1" applyFill="1" applyBorder="1"/>
    <xf numFmtId="0" fontId="0" fillId="12" borderId="8" xfId="0" applyFill="1" applyBorder="1"/>
    <xf numFmtId="7" fontId="3" fillId="0" borderId="0" xfId="24" applyNumberFormat="1" applyFont="1" applyBorder="1"/>
    <xf numFmtId="44" fontId="3" fillId="2" borderId="0" xfId="24" applyFont="1" applyFill="1" applyBorder="1"/>
    <xf numFmtId="9" fontId="34" fillId="0" borderId="37" xfId="0" applyNumberFormat="1" applyFont="1" applyBorder="1" applyAlignment="1">
      <alignment horizontal="center" vertical="center"/>
    </xf>
    <xf numFmtId="44" fontId="34" fillId="0" borderId="41" xfId="24" applyFont="1" applyBorder="1"/>
    <xf numFmtId="7" fontId="60" fillId="0" borderId="3" xfId="0" applyNumberFormat="1" applyFont="1" applyBorder="1"/>
    <xf numFmtId="9" fontId="16" fillId="22" borderId="3" xfId="1" applyNumberFormat="1" applyFont="1" applyFill="1" applyBorder="1"/>
    <xf numFmtId="0" fontId="17" fillId="19" borderId="24" xfId="0" applyFont="1" applyFill="1" applyBorder="1"/>
    <xf numFmtId="0" fontId="4" fillId="18" borderId="0" xfId="0" applyFont="1" applyFill="1" applyAlignment="1">
      <alignment horizontal="center"/>
    </xf>
    <xf numFmtId="0" fontId="2" fillId="2" borderId="5" xfId="0" applyFont="1" applyFill="1" applyBorder="1" applyAlignment="1">
      <alignment horizontal="left" vertical="center" wrapText="1"/>
    </xf>
    <xf numFmtId="165" fontId="5" fillId="2" borderId="0" xfId="0" applyNumberFormat="1" applyFont="1" applyFill="1" applyAlignment="1">
      <alignment vertical="center"/>
    </xf>
    <xf numFmtId="165" fontId="0" fillId="4" borderId="3" xfId="24" applyNumberFormat="1" applyFont="1" applyFill="1" applyBorder="1"/>
    <xf numFmtId="164" fontId="2" fillId="2" borderId="5" xfId="1" applyFont="1" applyFill="1" applyBorder="1"/>
    <xf numFmtId="171" fontId="2" fillId="2" borderId="5" xfId="1" applyNumberFormat="1" applyFont="1" applyFill="1" applyBorder="1" applyAlignment="1">
      <alignment horizontal="center" vertical="center"/>
    </xf>
    <xf numFmtId="164" fontId="2" fillId="0" borderId="5" xfId="1" applyFont="1" applyBorder="1"/>
    <xf numFmtId="171" fontId="2" fillId="0" borderId="5" xfId="1" applyNumberFormat="1" applyFont="1" applyBorder="1" applyAlignment="1">
      <alignment horizontal="center" vertical="center"/>
    </xf>
    <xf numFmtId="0" fontId="2" fillId="2" borderId="0" xfId="0" applyFont="1" applyFill="1"/>
    <xf numFmtId="164" fontId="2" fillId="2" borderId="0" xfId="1" applyFont="1" applyFill="1"/>
    <xf numFmtId="7" fontId="38" fillId="2" borderId="0" xfId="0" applyNumberFormat="1" applyFont="1" applyFill="1"/>
    <xf numFmtId="8" fontId="38" fillId="2" borderId="0" xfId="0" applyNumberFormat="1" applyFont="1" applyFill="1"/>
    <xf numFmtId="2" fontId="11" fillId="2" borderId="8" xfId="0" applyNumberFormat="1" applyFont="1" applyFill="1" applyBorder="1" applyAlignment="1">
      <alignment horizontal="left" vertical="center" wrapText="1"/>
    </xf>
    <xf numFmtId="0" fontId="38" fillId="2" borderId="0" xfId="0" applyFont="1" applyFill="1"/>
    <xf numFmtId="164" fontId="38" fillId="2" borderId="0" xfId="0" applyNumberFormat="1" applyFont="1" applyFill="1"/>
    <xf numFmtId="0" fontId="61" fillId="0" borderId="0" xfId="26"/>
    <xf numFmtId="0" fontId="62" fillId="0" borderId="0" xfId="26" applyFont="1"/>
    <xf numFmtId="8" fontId="61" fillId="0" borderId="3" xfId="26" applyNumberFormat="1" applyBorder="1"/>
    <xf numFmtId="0" fontId="62" fillId="0" borderId="0" xfId="26" applyFont="1" applyAlignment="1">
      <alignment wrapText="1"/>
    </xf>
    <xf numFmtId="0" fontId="63" fillId="0" borderId="0" xfId="26" applyFont="1" applyAlignment="1">
      <alignment vertical="center"/>
    </xf>
    <xf numFmtId="0" fontId="63" fillId="0" borderId="0" xfId="26" applyFont="1"/>
    <xf numFmtId="0" fontId="8" fillId="0" borderId="0" xfId="26" applyFont="1"/>
    <xf numFmtId="8" fontId="61" fillId="0" borderId="0" xfId="26" applyNumberFormat="1"/>
    <xf numFmtId="0" fontId="61" fillId="0" borderId="3" xfId="26" applyBorder="1"/>
    <xf numFmtId="8" fontId="61" fillId="0" borderId="3" xfId="26" applyNumberFormat="1" applyBorder="1" applyAlignment="1">
      <alignment horizontal="center" vertical="center"/>
    </xf>
    <xf numFmtId="8" fontId="42" fillId="0" borderId="3" xfId="26" applyNumberFormat="1" applyFont="1" applyBorder="1" applyAlignment="1">
      <alignment horizontal="center" vertical="center"/>
    </xf>
    <xf numFmtId="0" fontId="8" fillId="0" borderId="3" xfId="26" applyFont="1" applyBorder="1" applyAlignment="1">
      <alignment horizontal="center"/>
    </xf>
    <xf numFmtId="0" fontId="47" fillId="0" borderId="3" xfId="26" applyFont="1" applyBorder="1" applyAlignment="1">
      <alignment horizontal="center" vertical="center"/>
    </xf>
    <xf numFmtId="8" fontId="3" fillId="0" borderId="3" xfId="26" applyNumberFormat="1" applyFont="1" applyBorder="1"/>
    <xf numFmtId="0" fontId="42" fillId="0" borderId="0" xfId="26" applyFont="1" applyAlignment="1">
      <alignment horizontal="center" vertical="center"/>
    </xf>
    <xf numFmtId="8" fontId="61" fillId="0" borderId="3" xfId="26" applyNumberFormat="1" applyBorder="1" applyAlignment="1">
      <alignment vertical="center"/>
    </xf>
    <xf numFmtId="8" fontId="47" fillId="0" borderId="3" xfId="26" applyNumberFormat="1" applyFont="1" applyBorder="1" applyAlignment="1">
      <alignment horizontal="right" vertical="center"/>
    </xf>
    <xf numFmtId="8" fontId="5" fillId="0" borderId="3" xfId="26" applyNumberFormat="1" applyFont="1" applyBorder="1"/>
    <xf numFmtId="8" fontId="47" fillId="0" borderId="3" xfId="26" applyNumberFormat="1" applyFont="1" applyBorder="1"/>
    <xf numFmtId="0" fontId="5" fillId="0" borderId="3" xfId="26" applyFont="1" applyBorder="1"/>
    <xf numFmtId="8" fontId="47" fillId="0" borderId="3" xfId="26" applyNumberFormat="1" applyFont="1" applyBorder="1" applyAlignment="1">
      <alignment vertical="center"/>
    </xf>
    <xf numFmtId="0" fontId="5" fillId="0" borderId="3" xfId="26" applyFont="1" applyBorder="1" applyAlignment="1">
      <alignment vertical="center" wrapText="1"/>
    </xf>
    <xf numFmtId="0" fontId="8" fillId="0" borderId="0" xfId="26" applyFont="1" applyAlignment="1">
      <alignment horizontal="center" vertical="center"/>
    </xf>
    <xf numFmtId="8" fontId="47" fillId="0" borderId="0" xfId="26" applyNumberFormat="1" applyFont="1"/>
    <xf numFmtId="0" fontId="8" fillId="0" borderId="0" xfId="26" applyFont="1" applyAlignment="1">
      <alignment horizontal="center"/>
    </xf>
    <xf numFmtId="0" fontId="47" fillId="0" borderId="0" xfId="26" applyFont="1" applyAlignment="1">
      <alignment horizontal="center"/>
    </xf>
    <xf numFmtId="9" fontId="8" fillId="0" borderId="0" xfId="26" applyNumberFormat="1" applyFont="1" applyAlignment="1">
      <alignment horizontal="center"/>
    </xf>
    <xf numFmtId="4" fontId="8" fillId="30" borderId="0" xfId="26" applyNumberFormat="1" applyFont="1" applyFill="1" applyAlignment="1">
      <alignment horizontal="center"/>
    </xf>
    <xf numFmtId="0" fontId="8" fillId="30" borderId="0" xfId="26" applyFont="1" applyFill="1"/>
    <xf numFmtId="0" fontId="8" fillId="30" borderId="0" xfId="26" applyFont="1" applyFill="1" applyAlignment="1">
      <alignment horizontal="center"/>
    </xf>
    <xf numFmtId="4" fontId="8" fillId="0" borderId="0" xfId="26" applyNumberFormat="1" applyFont="1" applyAlignment="1">
      <alignment horizontal="center"/>
    </xf>
    <xf numFmtId="9" fontId="61" fillId="0" borderId="0" xfId="26" applyNumberFormat="1"/>
    <xf numFmtId="44" fontId="3" fillId="22" borderId="17" xfId="0" applyNumberFormat="1" applyFont="1" applyFill="1" applyBorder="1" applyAlignment="1">
      <alignment horizontal="right"/>
    </xf>
    <xf numFmtId="0" fontId="4" fillId="0" borderId="0" xfId="0" applyFont="1"/>
    <xf numFmtId="7" fontId="4" fillId="0" borderId="0" xfId="0" applyNumberFormat="1" applyFont="1"/>
    <xf numFmtId="0" fontId="0" fillId="4" borderId="17" xfId="0" applyFill="1" applyBorder="1"/>
    <xf numFmtId="10" fontId="0" fillId="4" borderId="17" xfId="2" applyNumberFormat="1" applyFont="1" applyFill="1" applyBorder="1" applyAlignment="1">
      <alignment horizontal="center"/>
    </xf>
    <xf numFmtId="169" fontId="2" fillId="2" borderId="0" xfId="0" applyNumberFormat="1" applyFont="1" applyFill="1"/>
    <xf numFmtId="164" fontId="2" fillId="2" borderId="0" xfId="0" applyNumberFormat="1" applyFont="1" applyFill="1"/>
    <xf numFmtId="168" fontId="2" fillId="2" borderId="0" xfId="0" applyNumberFormat="1" applyFont="1" applyFill="1"/>
    <xf numFmtId="166" fontId="2" fillId="2" borderId="0" xfId="0" applyNumberFormat="1" applyFont="1" applyFill="1"/>
    <xf numFmtId="7" fontId="2" fillId="2" borderId="0" xfId="0" applyNumberFormat="1" applyFont="1" applyFill="1"/>
    <xf numFmtId="8" fontId="2" fillId="2" borderId="0" xfId="0" applyNumberFormat="1" applyFont="1" applyFill="1"/>
    <xf numFmtId="165" fontId="10" fillId="4" borderId="21" xfId="3" applyNumberFormat="1" applyFont="1" applyFill="1" applyBorder="1" applyAlignment="1">
      <alignment horizontal="right" vertical="center"/>
    </xf>
    <xf numFmtId="165" fontId="10" fillId="4" borderId="3" xfId="3" applyNumberFormat="1" applyFont="1" applyFill="1" applyBorder="1" applyAlignment="1">
      <alignment horizontal="center" vertical="center"/>
    </xf>
    <xf numFmtId="10" fontId="0" fillId="0" borderId="1" xfId="2" applyNumberFormat="1" applyFont="1" applyBorder="1" applyAlignment="1">
      <alignment horizontal="center" vertical="center"/>
    </xf>
    <xf numFmtId="2" fontId="42" fillId="11" borderId="4" xfId="3" applyNumberFormat="1" applyFont="1" applyFill="1" applyBorder="1" applyAlignment="1">
      <alignment horizontal="center" vertical="center"/>
    </xf>
    <xf numFmtId="7" fontId="0" fillId="22" borderId="3" xfId="1" applyNumberFormat="1" applyFont="1" applyFill="1" applyBorder="1"/>
    <xf numFmtId="0" fontId="8" fillId="0" borderId="63" xfId="0" applyFont="1" applyBorder="1"/>
    <xf numFmtId="10" fontId="8" fillId="0" borderId="64" xfId="0" applyNumberFormat="1" applyFont="1" applyBorder="1" applyAlignment="1">
      <alignment horizontal="center"/>
    </xf>
    <xf numFmtId="10" fontId="8" fillId="0" borderId="65" xfId="0" applyNumberFormat="1" applyFont="1" applyBorder="1" applyAlignment="1">
      <alignment horizontal="center"/>
    </xf>
    <xf numFmtId="0" fontId="0" fillId="0" borderId="66" xfId="0" applyBorder="1"/>
    <xf numFmtId="0" fontId="0" fillId="0" borderId="67" xfId="0" applyBorder="1"/>
    <xf numFmtId="178" fontId="0" fillId="0" borderId="68" xfId="0" applyNumberFormat="1" applyBorder="1"/>
    <xf numFmtId="165" fontId="42" fillId="0" borderId="68" xfId="0" applyNumberFormat="1" applyFont="1" applyBorder="1"/>
    <xf numFmtId="10" fontId="0" fillId="0" borderId="68" xfId="0" applyNumberFormat="1" applyBorder="1"/>
    <xf numFmtId="179" fontId="42" fillId="0" borderId="69" xfId="0" applyNumberFormat="1" applyFont="1" applyBorder="1"/>
    <xf numFmtId="0" fontId="0" fillId="0" borderId="63" xfId="0" applyBorder="1"/>
    <xf numFmtId="0" fontId="42" fillId="0" borderId="67" xfId="0" applyFont="1" applyBorder="1"/>
    <xf numFmtId="179" fontId="0" fillId="0" borderId="69" xfId="0" applyNumberFormat="1" applyBorder="1"/>
    <xf numFmtId="2" fontId="42" fillId="0" borderId="67" xfId="0" applyNumberFormat="1" applyFont="1" applyBorder="1"/>
    <xf numFmtId="10" fontId="5" fillId="0" borderId="68" xfId="0" applyNumberFormat="1" applyFont="1" applyBorder="1"/>
    <xf numFmtId="4" fontId="5" fillId="0" borderId="63" xfId="0" applyNumberFormat="1" applyFont="1" applyBorder="1" applyAlignment="1">
      <alignment wrapText="1"/>
    </xf>
    <xf numFmtId="165" fontId="10" fillId="4" borderId="11" xfId="3" applyNumberFormat="1" applyFont="1" applyFill="1" applyBorder="1" applyAlignment="1">
      <alignment horizontal="center" vertical="center"/>
    </xf>
    <xf numFmtId="167" fontId="0" fillId="0" borderId="1" xfId="2" applyNumberFormat="1" applyFont="1" applyBorder="1" applyAlignment="1">
      <alignment horizontal="center" vertical="center"/>
    </xf>
    <xf numFmtId="167" fontId="0" fillId="0" borderId="3" xfId="2" applyNumberFormat="1" applyFont="1" applyBorder="1" applyAlignment="1">
      <alignment horizontal="center" vertical="center"/>
    </xf>
    <xf numFmtId="10" fontId="0" fillId="0" borderId="3" xfId="1" applyNumberFormat="1" applyFont="1" applyBorder="1" applyAlignment="1">
      <alignment horizontal="center" vertical="center"/>
    </xf>
    <xf numFmtId="180" fontId="4" fillId="2" borderId="0" xfId="0" applyNumberFormat="1" applyFont="1" applyFill="1"/>
    <xf numFmtId="0" fontId="23" fillId="0" borderId="15" xfId="0" applyFont="1" applyBorder="1"/>
    <xf numFmtId="0" fontId="0" fillId="0" borderId="59" xfId="0" applyBorder="1"/>
    <xf numFmtId="44" fontId="3" fillId="2" borderId="57" xfId="24" applyFont="1" applyFill="1" applyBorder="1"/>
    <xf numFmtId="44" fontId="3" fillId="0" borderId="59" xfId="24" applyFont="1" applyBorder="1"/>
    <xf numFmtId="9" fontId="3" fillId="0" borderId="38" xfId="2" applyFont="1" applyBorder="1" applyAlignment="1">
      <alignment horizontal="center"/>
    </xf>
    <xf numFmtId="0" fontId="3" fillId="0" borderId="5" xfId="0" applyFont="1" applyBorder="1"/>
    <xf numFmtId="0" fontId="3" fillId="0" borderId="37" xfId="0" applyFont="1" applyBorder="1"/>
    <xf numFmtId="0" fontId="44" fillId="18" borderId="37" xfId="0" applyFont="1" applyFill="1" applyBorder="1" applyAlignment="1">
      <alignment horizontal="center"/>
    </xf>
    <xf numFmtId="9" fontId="0" fillId="0" borderId="5" xfId="2" applyFont="1" applyBorder="1"/>
    <xf numFmtId="2" fontId="11" fillId="2" borderId="17" xfId="0" applyNumberFormat="1" applyFont="1" applyFill="1" applyBorder="1" applyAlignment="1">
      <alignment horizontal="left" vertical="top" wrapText="1"/>
    </xf>
    <xf numFmtId="0" fontId="11" fillId="2" borderId="40" xfId="0" applyFont="1" applyFill="1" applyBorder="1" applyAlignment="1">
      <alignment vertical="top" wrapText="1"/>
    </xf>
    <xf numFmtId="0" fontId="2" fillId="4" borderId="3" xfId="0" applyFont="1" applyFill="1" applyBorder="1" applyAlignment="1">
      <alignment horizontal="left" vertical="center" wrapText="1"/>
    </xf>
    <xf numFmtId="2" fontId="11" fillId="4" borderId="3" xfId="0" applyNumberFormat="1" applyFont="1" applyFill="1" applyBorder="1" applyAlignment="1">
      <alignment vertical="top" wrapText="1"/>
    </xf>
    <xf numFmtId="0" fontId="16" fillId="4" borderId="3" xfId="0" applyFont="1" applyFill="1" applyBorder="1"/>
    <xf numFmtId="165" fontId="0" fillId="0" borderId="69" xfId="0" applyNumberFormat="1" applyBorder="1" applyAlignment="1">
      <alignment vertical="center"/>
    </xf>
    <xf numFmtId="46" fontId="11" fillId="2" borderId="3" xfId="0" applyNumberFormat="1" applyFont="1" applyFill="1" applyBorder="1"/>
    <xf numFmtId="7" fontId="0" fillId="4" borderId="17" xfId="24" applyNumberFormat="1" applyFont="1" applyFill="1" applyBorder="1"/>
    <xf numFmtId="44" fontId="1" fillId="0" borderId="3" xfId="24" applyFont="1" applyBorder="1"/>
    <xf numFmtId="0" fontId="2" fillId="4" borderId="3" xfId="0" applyFont="1" applyFill="1" applyBorder="1"/>
    <xf numFmtId="44" fontId="0" fillId="31" borderId="3" xfId="24" applyFont="1" applyFill="1" applyBorder="1"/>
    <xf numFmtId="44" fontId="0" fillId="5" borderId="3" xfId="24" applyFont="1" applyFill="1" applyBorder="1"/>
    <xf numFmtId="165" fontId="3" fillId="29" borderId="3" xfId="0" applyNumberFormat="1" applyFont="1" applyFill="1" applyBorder="1"/>
    <xf numFmtId="0" fontId="11" fillId="2" borderId="3" xfId="0" applyFont="1" applyFill="1" applyBorder="1" applyAlignment="1">
      <alignment horizontal="left"/>
    </xf>
    <xf numFmtId="44" fontId="1" fillId="2" borderId="41" xfId="24" applyFont="1" applyFill="1" applyBorder="1"/>
    <xf numFmtId="10" fontId="1" fillId="0" borderId="37" xfId="2" applyNumberFormat="1" applyFont="1" applyBorder="1"/>
    <xf numFmtId="44" fontId="0" fillId="4" borderId="17" xfId="24" applyFont="1" applyFill="1" applyBorder="1"/>
    <xf numFmtId="44" fontId="3" fillId="31" borderId="41" xfId="24" applyFont="1" applyFill="1" applyBorder="1"/>
    <xf numFmtId="0" fontId="3" fillId="0" borderId="3" xfId="0" applyFont="1" applyBorder="1" applyAlignment="1">
      <alignment horizontal="center"/>
    </xf>
    <xf numFmtId="44" fontId="0" fillId="12" borderId="8" xfId="0" applyNumberFormat="1" applyFill="1" applyBorder="1"/>
    <xf numFmtId="165" fontId="0" fillId="4" borderId="0" xfId="0" applyNumberFormat="1" applyFill="1"/>
    <xf numFmtId="44" fontId="0" fillId="2" borderId="5" xfId="24" applyFont="1" applyFill="1" applyBorder="1"/>
    <xf numFmtId="44" fontId="0" fillId="0" borderId="5" xfId="24" applyFont="1" applyBorder="1"/>
    <xf numFmtId="0" fontId="2" fillId="0" borderId="5" xfId="0" applyFont="1" applyBorder="1"/>
    <xf numFmtId="9" fontId="0" fillId="0" borderId="18" xfId="2" applyFont="1" applyBorder="1" applyAlignment="1">
      <alignment horizontal="center"/>
    </xf>
    <xf numFmtId="0" fontId="17" fillId="17" borderId="3" xfId="0" applyFont="1" applyFill="1" applyBorder="1"/>
    <xf numFmtId="165" fontId="17" fillId="17" borderId="3" xfId="0" applyNumberFormat="1" applyFont="1" applyFill="1" applyBorder="1"/>
    <xf numFmtId="44" fontId="17" fillId="17" borderId="3" xfId="1" applyNumberFormat="1" applyFont="1" applyFill="1" applyBorder="1"/>
    <xf numFmtId="165" fontId="0" fillId="12" borderId="17" xfId="0" applyNumberFormat="1" applyFill="1" applyBorder="1"/>
    <xf numFmtId="165" fontId="3" fillId="0" borderId="0" xfId="24" applyNumberFormat="1" applyFont="1" applyBorder="1"/>
    <xf numFmtId="44" fontId="11" fillId="2" borderId="3" xfId="24" applyFont="1" applyFill="1" applyBorder="1"/>
    <xf numFmtId="7" fontId="5" fillId="2" borderId="3" xfId="3" applyNumberFormat="1" applyFill="1" applyBorder="1" applyAlignment="1">
      <alignment horizontal="center" vertical="center"/>
    </xf>
    <xf numFmtId="165" fontId="8" fillId="2" borderId="3" xfId="3" applyNumberFormat="1" applyFont="1" applyFill="1" applyBorder="1" applyAlignment="1">
      <alignment horizontal="center" vertical="center"/>
    </xf>
    <xf numFmtId="165" fontId="11" fillId="2" borderId="3" xfId="0" applyNumberFormat="1" applyFont="1" applyFill="1" applyBorder="1" applyAlignment="1">
      <alignment horizontal="right" vertical="center"/>
    </xf>
    <xf numFmtId="10" fontId="0" fillId="0" borderId="3" xfId="0" applyNumberFormat="1" applyBorder="1" applyAlignment="1">
      <alignment horizontal="center"/>
    </xf>
    <xf numFmtId="10" fontId="11" fillId="2" borderId="3" xfId="0" applyNumberFormat="1" applyFont="1" applyFill="1" applyBorder="1" applyAlignment="1">
      <alignment horizontal="center"/>
    </xf>
    <xf numFmtId="10" fontId="2" fillId="2" borderId="1" xfId="2" applyNumberFormat="1" applyFont="1" applyFill="1" applyBorder="1" applyAlignment="1">
      <alignment horizontal="center"/>
    </xf>
    <xf numFmtId="10" fontId="2" fillId="2" borderId="3" xfId="2" applyNumberFormat="1" applyFont="1" applyFill="1" applyBorder="1" applyAlignment="1">
      <alignment horizontal="center"/>
    </xf>
    <xf numFmtId="10" fontId="2" fillId="0" borderId="3" xfId="2" applyNumberFormat="1" applyFont="1" applyBorder="1" applyAlignment="1">
      <alignment horizontal="center"/>
    </xf>
    <xf numFmtId="10" fontId="2" fillId="0" borderId="3" xfId="0" applyNumberFormat="1" applyFont="1" applyBorder="1" applyAlignment="1">
      <alignment horizontal="center"/>
    </xf>
    <xf numFmtId="10" fontId="59" fillId="0" borderId="3" xfId="0" applyNumberFormat="1" applyFont="1" applyBorder="1" applyAlignment="1">
      <alignment horizontal="center"/>
    </xf>
    <xf numFmtId="10" fontId="2" fillId="0" borderId="17" xfId="2" applyNumberFormat="1" applyFont="1" applyBorder="1" applyAlignment="1">
      <alignment horizontal="center"/>
    </xf>
    <xf numFmtId="10" fontId="2" fillId="2" borderId="3" xfId="0" applyNumberFormat="1" applyFont="1" applyFill="1" applyBorder="1" applyAlignment="1">
      <alignment horizontal="center"/>
    </xf>
    <xf numFmtId="7" fontId="11" fillId="2" borderId="0" xfId="0" applyNumberFormat="1" applyFont="1" applyFill="1"/>
    <xf numFmtId="7" fontId="11" fillId="17" borderId="3" xfId="0" applyNumberFormat="1" applyFont="1" applyFill="1" applyBorder="1"/>
    <xf numFmtId="44" fontId="17" fillId="17" borderId="3" xfId="0" applyNumberFormat="1" applyFont="1" applyFill="1" applyBorder="1"/>
    <xf numFmtId="0" fontId="17" fillId="17" borderId="3" xfId="0" applyFont="1" applyFill="1" applyBorder="1" applyAlignment="1">
      <alignment horizontal="center"/>
    </xf>
    <xf numFmtId="165" fontId="0" fillId="0" borderId="3" xfId="1" applyNumberFormat="1" applyFont="1" applyBorder="1"/>
    <xf numFmtId="165" fontId="0" fillId="0" borderId="3" xfId="24" applyNumberFormat="1" applyFont="1" applyBorder="1"/>
    <xf numFmtId="9" fontId="11" fillId="2" borderId="3" xfId="2" applyFont="1" applyFill="1" applyBorder="1" applyAlignment="1">
      <alignment horizontal="center"/>
    </xf>
    <xf numFmtId="165" fontId="23" fillId="0" borderId="11" xfId="24" applyNumberFormat="1" applyFont="1" applyBorder="1"/>
    <xf numFmtId="165" fontId="17" fillId="2" borderId="3" xfId="0" applyNumberFormat="1" applyFont="1" applyFill="1" applyBorder="1"/>
    <xf numFmtId="165" fontId="16" fillId="2" borderId="3" xfId="0" applyNumberFormat="1" applyFont="1" applyFill="1" applyBorder="1"/>
    <xf numFmtId="7" fontId="0" fillId="4" borderId="3" xfId="0" applyNumberFormat="1" applyFill="1" applyBorder="1"/>
    <xf numFmtId="165" fontId="11" fillId="0" borderId="3" xfId="0" applyNumberFormat="1" applyFont="1" applyBorder="1"/>
    <xf numFmtId="4" fontId="0" fillId="2" borderId="3" xfId="0" applyNumberFormat="1" applyFill="1" applyBorder="1"/>
    <xf numFmtId="165" fontId="3" fillId="2" borderId="3" xfId="0" applyNumberFormat="1" applyFont="1" applyFill="1" applyBorder="1"/>
    <xf numFmtId="0" fontId="3" fillId="32" borderId="3" xfId="0" applyFont="1" applyFill="1" applyBorder="1" applyAlignment="1">
      <alignment horizontal="center" vertical="center" wrapText="1"/>
    </xf>
    <xf numFmtId="7" fontId="8" fillId="4" borderId="3" xfId="3" applyNumberFormat="1" applyFont="1" applyFill="1" applyBorder="1" applyAlignment="1">
      <alignment vertical="center"/>
    </xf>
    <xf numFmtId="0" fontId="5" fillId="2" borderId="0" xfId="3" applyFill="1"/>
    <xf numFmtId="0" fontId="0" fillId="0" borderId="0" xfId="0" applyAlignment="1">
      <alignment vertical="top"/>
    </xf>
    <xf numFmtId="7" fontId="16" fillId="0" borderId="0" xfId="1" applyNumberFormat="1" applyFont="1" applyAlignment="1">
      <alignment horizontal="center"/>
    </xf>
    <xf numFmtId="165" fontId="16" fillId="0" borderId="0" xfId="0" applyNumberFormat="1" applyFont="1" applyAlignment="1">
      <alignment horizontal="center"/>
    </xf>
    <xf numFmtId="0" fontId="70" fillId="0" borderId="0" xfId="32"/>
    <xf numFmtId="0" fontId="5" fillId="0" borderId="0" xfId="32" applyFont="1"/>
    <xf numFmtId="165" fontId="67" fillId="33" borderId="0" xfId="33" applyNumberFormat="1" applyFont="1" applyFill="1" applyAlignment="1">
      <alignment horizontal="center"/>
    </xf>
    <xf numFmtId="165" fontId="67" fillId="0" borderId="0" xfId="33" applyNumberFormat="1" applyFont="1" applyAlignment="1">
      <alignment horizontal="center"/>
    </xf>
    <xf numFmtId="0" fontId="1" fillId="0" borderId="0" xfId="33"/>
    <xf numFmtId="0" fontId="71" fillId="0" borderId="0" xfId="33" applyFont="1" applyAlignment="1">
      <alignment horizontal="center"/>
    </xf>
    <xf numFmtId="0" fontId="72" fillId="0" borderId="0" xfId="33" applyFont="1" applyAlignment="1">
      <alignment wrapText="1"/>
    </xf>
    <xf numFmtId="0" fontId="6" fillId="0" borderId="24" xfId="33" applyFont="1" applyBorder="1"/>
    <xf numFmtId="10" fontId="6" fillId="0" borderId="25" xfId="33" applyNumberFormat="1" applyFont="1" applyBorder="1"/>
    <xf numFmtId="0" fontId="1" fillId="0" borderId="25" xfId="33" applyBorder="1"/>
    <xf numFmtId="0" fontId="5" fillId="0" borderId="25" xfId="33" applyFont="1" applyBorder="1"/>
    <xf numFmtId="0" fontId="1" fillId="0" borderId="42" xfId="33" applyBorder="1"/>
    <xf numFmtId="0" fontId="1" fillId="0" borderId="0" xfId="33" applyAlignment="1">
      <alignment horizontal="center"/>
    </xf>
    <xf numFmtId="0" fontId="74" fillId="0" borderId="0" xfId="33" applyFont="1" applyProtection="1">
      <protection hidden="1"/>
    </xf>
    <xf numFmtId="2" fontId="74" fillId="0" borderId="0" xfId="33" applyNumberFormat="1" applyFont="1" applyProtection="1">
      <protection hidden="1"/>
    </xf>
    <xf numFmtId="0" fontId="1" fillId="0" borderId="57" xfId="33" applyBorder="1" applyProtection="1">
      <protection hidden="1"/>
    </xf>
    <xf numFmtId="0" fontId="74" fillId="0" borderId="38" xfId="33" applyFont="1" applyBorder="1" applyProtection="1">
      <protection hidden="1"/>
    </xf>
    <xf numFmtId="0" fontId="75" fillId="35" borderId="55" xfId="33" applyFont="1" applyFill="1" applyBorder="1" applyAlignment="1" applyProtection="1">
      <alignment horizontal="center" vertical="center" wrapText="1"/>
      <protection hidden="1"/>
    </xf>
    <xf numFmtId="0" fontId="75" fillId="35" borderId="3" xfId="33" applyFont="1" applyFill="1" applyBorder="1" applyAlignment="1" applyProtection="1">
      <alignment horizontal="center" vertical="center" wrapText="1"/>
      <protection hidden="1"/>
    </xf>
    <xf numFmtId="2" fontId="75" fillId="35" borderId="3" xfId="33" applyNumberFormat="1" applyFont="1" applyFill="1" applyBorder="1" applyAlignment="1" applyProtection="1">
      <alignment horizontal="center" vertical="center" wrapText="1"/>
      <protection hidden="1"/>
    </xf>
    <xf numFmtId="0" fontId="76" fillId="0" borderId="3" xfId="33" quotePrefix="1" applyFont="1" applyBorder="1" applyAlignment="1" applyProtection="1">
      <alignment wrapText="1"/>
      <protection hidden="1"/>
    </xf>
    <xf numFmtId="0" fontId="76" fillId="0" borderId="3" xfId="33" quotePrefix="1" applyFont="1" applyBorder="1" applyAlignment="1" applyProtection="1">
      <alignment horizontal="center" wrapText="1"/>
      <protection hidden="1"/>
    </xf>
    <xf numFmtId="183" fontId="76" fillId="0" borderId="3" xfId="33" applyNumberFormat="1" applyFont="1" applyBorder="1" applyProtection="1">
      <protection hidden="1"/>
    </xf>
    <xf numFmtId="183" fontId="74" fillId="36" borderId="3" xfId="33" applyNumberFormat="1" applyFont="1" applyFill="1" applyBorder="1" applyProtection="1">
      <protection locked="0" hidden="1"/>
    </xf>
    <xf numFmtId="0" fontId="67" fillId="0" borderId="0" xfId="33" applyFont="1" applyAlignment="1">
      <alignment horizontal="center"/>
    </xf>
    <xf numFmtId="44" fontId="8" fillId="0" borderId="0" xfId="29" applyFont="1" applyAlignment="1">
      <alignment horizontal="center"/>
    </xf>
    <xf numFmtId="44" fontId="5" fillId="0" borderId="0" xfId="29" applyFont="1" applyFill="1" applyBorder="1" applyAlignment="1">
      <alignment horizontal="center"/>
    </xf>
    <xf numFmtId="0" fontId="5" fillId="0" borderId="0" xfId="33" applyFont="1"/>
    <xf numFmtId="0" fontId="76" fillId="2" borderId="38" xfId="33" quotePrefix="1" applyFont="1" applyFill="1" applyBorder="1" applyAlignment="1" applyProtection="1">
      <alignment wrapText="1"/>
      <protection hidden="1"/>
    </xf>
    <xf numFmtId="0" fontId="76" fillId="2" borderId="0" xfId="33" quotePrefix="1" applyFont="1" applyFill="1" applyAlignment="1" applyProtection="1">
      <alignment wrapText="1"/>
      <protection hidden="1"/>
    </xf>
    <xf numFmtId="183" fontId="77" fillId="0" borderId="4" xfId="33" applyNumberFormat="1" applyFont="1" applyBorder="1" applyProtection="1">
      <protection hidden="1"/>
    </xf>
    <xf numFmtId="183" fontId="78" fillId="5" borderId="3" xfId="33" applyNumberFormat="1" applyFont="1" applyFill="1" applyBorder="1" applyAlignment="1" applyProtection="1">
      <alignment horizontal="right"/>
      <protection hidden="1"/>
    </xf>
    <xf numFmtId="183" fontId="75" fillId="5" borderId="3" xfId="33" applyNumberFormat="1" applyFont="1" applyFill="1" applyBorder="1" applyProtection="1">
      <protection hidden="1"/>
    </xf>
    <xf numFmtId="44" fontId="26" fillId="0" borderId="0" xfId="29" applyFont="1"/>
    <xf numFmtId="44" fontId="0" fillId="0" borderId="0" xfId="29" applyFont="1"/>
    <xf numFmtId="183" fontId="75" fillId="0" borderId="0" xfId="33" applyNumberFormat="1" applyFont="1" applyAlignment="1" applyProtection="1">
      <alignment horizontal="right"/>
      <protection hidden="1"/>
    </xf>
    <xf numFmtId="184" fontId="75" fillId="0" borderId="13" xfId="33" applyNumberFormat="1" applyFont="1" applyBorder="1" applyProtection="1">
      <protection hidden="1"/>
    </xf>
    <xf numFmtId="183" fontId="78" fillId="0" borderId="0" xfId="33" applyNumberFormat="1" applyFont="1" applyAlignment="1" applyProtection="1">
      <alignment horizontal="right"/>
      <protection hidden="1"/>
    </xf>
    <xf numFmtId="183" fontId="75" fillId="0" borderId="0" xfId="33" applyNumberFormat="1" applyFont="1" applyProtection="1">
      <protection hidden="1"/>
    </xf>
    <xf numFmtId="183" fontId="69" fillId="0" borderId="0" xfId="33" applyNumberFormat="1" applyFont="1" applyAlignment="1">
      <alignment horizontal="center"/>
    </xf>
    <xf numFmtId="183" fontId="71" fillId="0" borderId="0" xfId="33" applyNumberFormat="1" applyFont="1" applyAlignment="1">
      <alignment horizontal="center"/>
    </xf>
    <xf numFmtId="0" fontId="75" fillId="2" borderId="38" xfId="33" quotePrefix="1" applyFont="1" applyFill="1" applyBorder="1" applyAlignment="1" applyProtection="1">
      <alignment horizontal="center" wrapText="1"/>
      <protection hidden="1"/>
    </xf>
    <xf numFmtId="183" fontId="75" fillId="0" borderId="0" xfId="33" applyNumberFormat="1" applyFont="1" applyAlignment="1" applyProtection="1">
      <alignment horizontal="center"/>
      <protection hidden="1"/>
    </xf>
    <xf numFmtId="184" fontId="76" fillId="0" borderId="16" xfId="33" applyNumberFormat="1" applyFont="1" applyBorder="1" applyProtection="1">
      <protection hidden="1"/>
    </xf>
    <xf numFmtId="183" fontId="1" fillId="0" borderId="0" xfId="33" applyNumberFormat="1" applyProtection="1">
      <protection hidden="1"/>
    </xf>
    <xf numFmtId="183" fontId="76" fillId="0" borderId="0" xfId="33" applyNumberFormat="1" applyFont="1" applyProtection="1">
      <protection hidden="1"/>
    </xf>
    <xf numFmtId="183" fontId="1" fillId="0" borderId="0" xfId="33" applyNumberFormat="1"/>
    <xf numFmtId="3" fontId="76" fillId="0" borderId="3" xfId="33" quotePrefix="1" applyNumberFormat="1" applyFont="1" applyBorder="1" applyAlignment="1" applyProtection="1">
      <alignment wrapText="1"/>
      <protection hidden="1"/>
    </xf>
    <xf numFmtId="184" fontId="76" fillId="0" borderId="0" xfId="33" applyNumberFormat="1" applyFont="1" applyProtection="1">
      <protection hidden="1"/>
    </xf>
    <xf numFmtId="0" fontId="1" fillId="0" borderId="38" xfId="33" applyBorder="1" applyProtection="1">
      <protection hidden="1"/>
    </xf>
    <xf numFmtId="184" fontId="74" fillId="0" borderId="0" xfId="33" applyNumberFormat="1" applyFont="1" applyProtection="1">
      <protection hidden="1"/>
    </xf>
    <xf numFmtId="183" fontId="74" fillId="0" borderId="0" xfId="33" applyNumberFormat="1" applyFont="1" applyProtection="1">
      <protection hidden="1"/>
    </xf>
    <xf numFmtId="183" fontId="77" fillId="0" borderId="3" xfId="28" applyNumberFormat="1" applyFont="1" applyBorder="1" applyProtection="1">
      <protection hidden="1"/>
    </xf>
    <xf numFmtId="183" fontId="74" fillId="0" borderId="3" xfId="33" applyNumberFormat="1" applyFont="1" applyBorder="1" applyAlignment="1" applyProtection="1">
      <alignment horizontal="left"/>
      <protection hidden="1"/>
    </xf>
    <xf numFmtId="0" fontId="1" fillId="0" borderId="57" xfId="33" applyBorder="1"/>
    <xf numFmtId="44" fontId="1" fillId="0" borderId="0" xfId="33" applyNumberFormat="1"/>
    <xf numFmtId="0" fontId="79" fillId="0" borderId="0" xfId="33" applyFont="1" applyAlignment="1">
      <alignment horizontal="left"/>
    </xf>
    <xf numFmtId="183" fontId="76" fillId="0" borderId="4" xfId="28" applyNumberFormat="1" applyFont="1" applyBorder="1" applyProtection="1">
      <protection hidden="1"/>
    </xf>
    <xf numFmtId="183" fontId="76" fillId="0" borderId="3" xfId="28" applyNumberFormat="1" applyFont="1" applyBorder="1" applyProtection="1">
      <protection hidden="1"/>
    </xf>
    <xf numFmtId="183" fontId="78" fillId="0" borderId="3" xfId="33" applyNumberFormat="1" applyFont="1" applyBorder="1" applyAlignment="1" applyProtection="1">
      <alignment horizontal="left"/>
      <protection hidden="1"/>
    </xf>
    <xf numFmtId="0" fontId="75" fillId="0" borderId="0" xfId="33" applyFont="1" applyProtection="1">
      <protection hidden="1"/>
    </xf>
    <xf numFmtId="0" fontId="78" fillId="0" borderId="0" xfId="33" applyFont="1" applyProtection="1">
      <protection hidden="1"/>
    </xf>
    <xf numFmtId="183" fontId="75" fillId="0" borderId="0" xfId="28" applyNumberFormat="1" applyFont="1" applyBorder="1" applyProtection="1">
      <protection hidden="1"/>
    </xf>
    <xf numFmtId="0" fontId="1" fillId="0" borderId="0" xfId="33" applyProtection="1">
      <protection hidden="1"/>
    </xf>
    <xf numFmtId="2" fontId="1" fillId="0" borderId="0" xfId="33" applyNumberFormat="1" applyProtection="1">
      <protection hidden="1"/>
    </xf>
    <xf numFmtId="0" fontId="1" fillId="0" borderId="38" xfId="33" applyBorder="1"/>
    <xf numFmtId="0" fontId="1" fillId="0" borderId="26" xfId="33" applyBorder="1"/>
    <xf numFmtId="0" fontId="1" fillId="0" borderId="10" xfId="33" applyBorder="1"/>
    <xf numFmtId="0" fontId="1" fillId="0" borderId="41" xfId="33" applyBorder="1"/>
    <xf numFmtId="7" fontId="11" fillId="2" borderId="3" xfId="25" applyNumberFormat="1" applyFont="1" applyFill="1" applyBorder="1" applyAlignment="1">
      <alignment horizontal="center" vertical="center"/>
    </xf>
    <xf numFmtId="171" fontId="0" fillId="2" borderId="3" xfId="24" applyNumberFormat="1" applyFont="1" applyFill="1" applyBorder="1" applyAlignment="1">
      <alignment horizontal="center"/>
    </xf>
    <xf numFmtId="171" fontId="0" fillId="4" borderId="3" xfId="24" applyNumberFormat="1" applyFont="1" applyFill="1" applyBorder="1"/>
    <xf numFmtId="171" fontId="11" fillId="2" borderId="3" xfId="25" applyNumberFormat="1" applyFont="1" applyFill="1" applyBorder="1" applyAlignment="1">
      <alignment horizontal="center" vertical="center"/>
    </xf>
    <xf numFmtId="4" fontId="11" fillId="2" borderId="3" xfId="25" applyNumberFormat="1" applyFont="1" applyFill="1" applyBorder="1" applyAlignment="1">
      <alignment horizontal="center" vertical="center"/>
    </xf>
    <xf numFmtId="4" fontId="0" fillId="2" borderId="3" xfId="24" applyNumberFormat="1" applyFont="1" applyFill="1" applyBorder="1" applyAlignment="1">
      <alignment horizontal="center" vertical="center"/>
    </xf>
    <xf numFmtId="171" fontId="0" fillId="2" borderId="3" xfId="24" applyNumberFormat="1" applyFont="1" applyFill="1" applyBorder="1" applyAlignment="1">
      <alignment horizontal="center" vertical="center"/>
    </xf>
    <xf numFmtId="44" fontId="0" fillId="2" borderId="3" xfId="24" applyFont="1" applyFill="1" applyBorder="1" applyAlignment="1">
      <alignment horizontal="center" vertical="center"/>
    </xf>
    <xf numFmtId="0" fontId="2" fillId="0" borderId="38" xfId="0" applyFont="1" applyBorder="1"/>
    <xf numFmtId="44" fontId="2" fillId="0" borderId="3" xfId="24" applyFont="1" applyBorder="1"/>
    <xf numFmtId="44" fontId="16" fillId="0" borderId="41" xfId="24" applyFont="1" applyBorder="1"/>
    <xf numFmtId="176" fontId="34" fillId="0" borderId="0" xfId="0" applyNumberFormat="1" applyFont="1"/>
    <xf numFmtId="9" fontId="0" fillId="2" borderId="3" xfId="24" applyNumberFormat="1" applyFont="1" applyFill="1" applyBorder="1" applyAlignment="1">
      <alignment horizontal="center"/>
    </xf>
    <xf numFmtId="44" fontId="2" fillId="2" borderId="3" xfId="24" applyFont="1" applyFill="1" applyBorder="1" applyAlignment="1">
      <alignment horizontal="center"/>
    </xf>
    <xf numFmtId="44" fontId="0" fillId="29" borderId="17" xfId="24" applyFont="1" applyFill="1" applyBorder="1" applyAlignment="1">
      <alignment horizontal="center"/>
    </xf>
    <xf numFmtId="164" fontId="11" fillId="2" borderId="3" xfId="1" applyFont="1" applyFill="1" applyBorder="1" applyAlignment="1">
      <alignment horizontal="center"/>
    </xf>
    <xf numFmtId="171" fontId="0" fillId="0" borderId="0" xfId="0" applyNumberFormat="1"/>
    <xf numFmtId="165" fontId="0" fillId="0" borderId="0" xfId="0" applyNumberFormat="1" applyAlignment="1">
      <alignment horizontal="right"/>
    </xf>
    <xf numFmtId="165" fontId="41" fillId="0" borderId="0" xfId="0" applyNumberFormat="1" applyFont="1" applyAlignment="1">
      <alignment horizontal="right" vertical="center"/>
    </xf>
    <xf numFmtId="7" fontId="34" fillId="0" borderId="0" xfId="0" applyNumberFormat="1" applyFont="1"/>
    <xf numFmtId="0" fontId="75" fillId="0" borderId="55" xfId="33" quotePrefix="1" applyFont="1" applyBorder="1" applyAlignment="1" applyProtection="1">
      <alignment horizontal="left" wrapText="1"/>
      <protection hidden="1"/>
    </xf>
    <xf numFmtId="0" fontId="68" fillId="0" borderId="55" xfId="33" applyFont="1" applyBorder="1" applyAlignment="1">
      <alignment horizontal="left" vertical="center" wrapText="1"/>
    </xf>
    <xf numFmtId="0" fontId="68" fillId="0" borderId="3" xfId="33" applyFont="1" applyBorder="1" applyAlignment="1">
      <alignment horizontal="left" vertical="center" wrapText="1"/>
    </xf>
    <xf numFmtId="0" fontId="75" fillId="2" borderId="38" xfId="33" quotePrefix="1" applyFont="1" applyFill="1" applyBorder="1" applyAlignment="1" applyProtection="1">
      <alignment horizontal="left" wrapText="1"/>
      <protection hidden="1"/>
    </xf>
    <xf numFmtId="0" fontId="70" fillId="0" borderId="0" xfId="32" applyAlignment="1">
      <alignment horizontal="center" vertical="center"/>
    </xf>
    <xf numFmtId="164" fontId="0" fillId="0" borderId="0" xfId="6" applyFont="1"/>
    <xf numFmtId="164" fontId="70" fillId="0" borderId="0" xfId="32" applyNumberFormat="1"/>
    <xf numFmtId="164" fontId="70" fillId="0" borderId="0" xfId="1" applyFont="1"/>
    <xf numFmtId="164" fontId="0" fillId="0" borderId="8" xfId="1" applyFont="1" applyBorder="1"/>
    <xf numFmtId="164" fontId="0" fillId="0" borderId="8" xfId="1" applyFont="1" applyBorder="1" applyAlignment="1">
      <alignment horizontal="center" vertical="center"/>
    </xf>
    <xf numFmtId="164" fontId="0" fillId="0" borderId="8" xfId="1" applyFont="1" applyBorder="1" applyAlignment="1">
      <alignment horizontal="center"/>
    </xf>
    <xf numFmtId="171" fontId="0" fillId="0" borderId="8" xfId="1" applyNumberFormat="1" applyFont="1" applyBorder="1" applyAlignment="1">
      <alignment horizontal="center" vertical="center"/>
    </xf>
    <xf numFmtId="9" fontId="11" fillId="0" borderId="8" xfId="2" applyFont="1" applyBorder="1" applyAlignment="1">
      <alignment horizontal="center" vertical="center"/>
    </xf>
    <xf numFmtId="7" fontId="16" fillId="0" borderId="20" xfId="1" applyNumberFormat="1" applyFont="1" applyBorder="1"/>
    <xf numFmtId="7" fontId="16" fillId="2" borderId="17" xfId="1" applyNumberFormat="1" applyFont="1" applyFill="1" applyBorder="1"/>
    <xf numFmtId="7" fontId="16" fillId="2" borderId="20" xfId="1" applyNumberFormat="1" applyFont="1" applyFill="1" applyBorder="1"/>
    <xf numFmtId="164" fontId="31" fillId="2" borderId="8" xfId="1" applyFont="1" applyFill="1" applyBorder="1"/>
    <xf numFmtId="164" fontId="0" fillId="2" borderId="8" xfId="1" applyFont="1" applyFill="1" applyBorder="1"/>
    <xf numFmtId="164" fontId="0" fillId="2" borderId="8" xfId="1" applyFont="1" applyFill="1" applyBorder="1" applyAlignment="1">
      <alignment horizontal="center" vertical="center"/>
    </xf>
    <xf numFmtId="164" fontId="0" fillId="2" borderId="8" xfId="1" applyFont="1" applyFill="1" applyBorder="1" applyAlignment="1">
      <alignment horizontal="center"/>
    </xf>
    <xf numFmtId="9" fontId="0" fillId="2" borderId="3" xfId="2" applyFont="1" applyFill="1" applyBorder="1" applyAlignment="1">
      <alignment horizontal="center" vertical="center"/>
    </xf>
    <xf numFmtId="7" fontId="30" fillId="2" borderId="3" xfId="1" applyNumberFormat="1" applyFont="1" applyFill="1" applyBorder="1" applyAlignment="1">
      <alignment horizontal="right"/>
    </xf>
    <xf numFmtId="165" fontId="1" fillId="0" borderId="18" xfId="2" applyNumberFormat="1" applyFont="1" applyBorder="1" applyAlignment="1">
      <alignment horizontal="center" vertical="center"/>
    </xf>
    <xf numFmtId="44" fontId="1" fillId="0" borderId="18" xfId="2" applyNumberFormat="1" applyFont="1" applyBorder="1" applyAlignment="1">
      <alignment horizontal="center" vertical="center"/>
    </xf>
    <xf numFmtId="7" fontId="1" fillId="0" borderId="18" xfId="1" applyNumberFormat="1" applyFont="1" applyBorder="1" applyAlignment="1">
      <alignment horizontal="center" vertical="center"/>
    </xf>
    <xf numFmtId="7" fontId="11" fillId="2" borderId="3" xfId="1" applyNumberFormat="1" applyFont="1" applyFill="1" applyBorder="1" applyAlignment="1">
      <alignment horizontal="center" vertical="center"/>
    </xf>
    <xf numFmtId="44" fontId="1" fillId="2" borderId="3" xfId="1" applyNumberFormat="1" applyFont="1" applyFill="1" applyBorder="1" applyAlignment="1">
      <alignment horizontal="center" vertical="center"/>
    </xf>
    <xf numFmtId="7" fontId="0" fillId="30" borderId="17" xfId="0" applyNumberFormat="1" applyFill="1" applyBorder="1" applyAlignment="1">
      <alignment horizontal="right"/>
    </xf>
    <xf numFmtId="7" fontId="0" fillId="5" borderId="8" xfId="1" applyNumberFormat="1" applyFont="1" applyFill="1" applyBorder="1" applyAlignment="1">
      <alignment horizontal="right" vertical="center"/>
    </xf>
    <xf numFmtId="7" fontId="30" fillId="5" borderId="8" xfId="1" applyNumberFormat="1" applyFont="1" applyFill="1" applyBorder="1" applyAlignment="1">
      <alignment horizontal="right"/>
    </xf>
    <xf numFmtId="7" fontId="1" fillId="0" borderId="20" xfId="1" applyNumberFormat="1" applyFont="1" applyBorder="1" applyAlignment="1">
      <alignment horizontal="center" vertical="center"/>
    </xf>
    <xf numFmtId="44" fontId="1" fillId="0" borderId="20" xfId="2" applyNumberFormat="1" applyFont="1" applyBorder="1" applyAlignment="1">
      <alignment horizontal="center" vertical="center"/>
    </xf>
    <xf numFmtId="7" fontId="0" fillId="30" borderId="8" xfId="0" applyNumberFormat="1" applyFill="1" applyBorder="1" applyAlignment="1">
      <alignment horizontal="right"/>
    </xf>
    <xf numFmtId="164" fontId="0" fillId="2" borderId="17" xfId="1" applyFont="1" applyFill="1" applyBorder="1"/>
    <xf numFmtId="164" fontId="0" fillId="2" borderId="17" xfId="1" applyFont="1" applyFill="1" applyBorder="1" applyAlignment="1">
      <alignment horizontal="center" vertical="center"/>
    </xf>
    <xf numFmtId="164" fontId="0" fillId="2" borderId="17" xfId="1" applyFont="1" applyFill="1" applyBorder="1" applyAlignment="1">
      <alignment horizontal="center"/>
    </xf>
    <xf numFmtId="171" fontId="0" fillId="2" borderId="17" xfId="1" applyNumberFormat="1" applyFont="1" applyFill="1" applyBorder="1" applyAlignment="1">
      <alignment horizontal="center" vertical="center"/>
    </xf>
    <xf numFmtId="9" fontId="0" fillId="2" borderId="17" xfId="2" applyFont="1" applyFill="1" applyBorder="1" applyAlignment="1">
      <alignment horizontal="center" vertical="center"/>
    </xf>
    <xf numFmtId="171" fontId="2" fillId="2" borderId="17" xfId="1" applyNumberFormat="1" applyFont="1" applyFill="1" applyBorder="1" applyAlignment="1">
      <alignment horizontal="center" vertical="center"/>
    </xf>
    <xf numFmtId="7" fontId="3" fillId="2" borderId="17" xfId="1" applyNumberFormat="1" applyFont="1" applyFill="1" applyBorder="1" applyAlignment="1">
      <alignment horizontal="center" vertical="center"/>
    </xf>
    <xf numFmtId="7" fontId="11" fillId="2" borderId="17" xfId="1" applyNumberFormat="1" applyFont="1" applyFill="1" applyBorder="1" applyAlignment="1">
      <alignment horizontal="center" vertical="center"/>
    </xf>
    <xf numFmtId="44" fontId="1" fillId="2" borderId="17" xfId="1" applyNumberFormat="1" applyFont="1" applyFill="1" applyBorder="1" applyAlignment="1">
      <alignment horizontal="center" vertical="center"/>
    </xf>
    <xf numFmtId="164" fontId="31" fillId="22" borderId="28" xfId="1" applyFont="1" applyFill="1" applyBorder="1"/>
    <xf numFmtId="164" fontId="0" fillId="22" borderId="29" xfId="1" applyFont="1" applyFill="1" applyBorder="1"/>
    <xf numFmtId="164" fontId="0" fillId="22" borderId="29" xfId="1" applyFont="1" applyFill="1" applyBorder="1" applyAlignment="1">
      <alignment horizontal="center" vertical="center"/>
    </xf>
    <xf numFmtId="164" fontId="0" fillId="22" borderId="29" xfId="1" applyFont="1" applyFill="1" applyBorder="1" applyAlignment="1">
      <alignment horizontal="center"/>
    </xf>
    <xf numFmtId="171" fontId="0" fillId="22" borderId="29" xfId="1" applyNumberFormat="1" applyFont="1" applyFill="1" applyBorder="1" applyAlignment="1">
      <alignment horizontal="center" vertical="center"/>
    </xf>
    <xf numFmtId="171" fontId="2" fillId="22" borderId="29" xfId="1" applyNumberFormat="1" applyFont="1" applyFill="1" applyBorder="1" applyAlignment="1">
      <alignment horizontal="center" vertical="center"/>
    </xf>
    <xf numFmtId="7" fontId="16" fillId="22" borderId="29" xfId="1" applyNumberFormat="1" applyFont="1" applyFill="1" applyBorder="1"/>
    <xf numFmtId="7" fontId="0" fillId="22" borderId="29" xfId="1" applyNumberFormat="1" applyFont="1" applyFill="1" applyBorder="1" applyAlignment="1">
      <alignment horizontal="right" vertical="center"/>
    </xf>
    <xf numFmtId="7" fontId="30" fillId="22" borderId="29" xfId="1" applyNumberFormat="1" applyFont="1" applyFill="1" applyBorder="1" applyAlignment="1">
      <alignment horizontal="right"/>
    </xf>
    <xf numFmtId="7" fontId="3" fillId="22" borderId="30" xfId="1" applyNumberFormat="1" applyFont="1" applyFill="1" applyBorder="1" applyAlignment="1">
      <alignment horizontal="center" vertical="center"/>
    </xf>
    <xf numFmtId="7" fontId="17" fillId="22" borderId="50" xfId="0" applyNumberFormat="1" applyFont="1" applyFill="1" applyBorder="1" applyAlignment="1">
      <alignment horizontal="right"/>
    </xf>
    <xf numFmtId="7" fontId="81" fillId="0" borderId="17" xfId="1" applyNumberFormat="1" applyFont="1" applyBorder="1" applyAlignment="1">
      <alignment horizontal="right" vertical="center"/>
    </xf>
    <xf numFmtId="9" fontId="1" fillId="0" borderId="18" xfId="2" applyFont="1" applyBorder="1" applyAlignment="1">
      <alignment horizontal="center" vertical="center"/>
    </xf>
    <xf numFmtId="7" fontId="1" fillId="0" borderId="3" xfId="1" applyNumberFormat="1" applyFont="1" applyBorder="1" applyAlignment="1">
      <alignment horizontal="right" vertical="center"/>
    </xf>
    <xf numFmtId="7" fontId="1" fillId="5" borderId="17" xfId="1" applyNumberFormat="1" applyFont="1" applyFill="1" applyBorder="1" applyAlignment="1">
      <alignment horizontal="right" vertical="center"/>
    </xf>
    <xf numFmtId="7" fontId="81" fillId="2" borderId="17" xfId="1" applyNumberFormat="1" applyFont="1" applyFill="1" applyBorder="1" applyAlignment="1">
      <alignment horizontal="right" vertical="center"/>
    </xf>
    <xf numFmtId="9" fontId="1" fillId="2" borderId="18" xfId="2" applyFont="1" applyFill="1" applyBorder="1" applyAlignment="1">
      <alignment horizontal="center" vertical="center"/>
    </xf>
    <xf numFmtId="8" fontId="0" fillId="2" borderId="0" xfId="0" applyNumberFormat="1" applyFill="1"/>
    <xf numFmtId="7" fontId="1" fillId="5" borderId="8" xfId="1" applyNumberFormat="1" applyFont="1" applyFill="1" applyBorder="1" applyAlignment="1">
      <alignment horizontal="right" vertical="center"/>
    </xf>
    <xf numFmtId="164" fontId="11" fillId="2" borderId="8" xfId="1" applyFont="1" applyFill="1" applyBorder="1"/>
    <xf numFmtId="171" fontId="11" fillId="2" borderId="8" xfId="1" applyNumberFormat="1" applyFont="1" applyFill="1" applyBorder="1" applyAlignment="1">
      <alignment horizontal="center" vertical="center"/>
    </xf>
    <xf numFmtId="172" fontId="2" fillId="2" borderId="8" xfId="1" applyNumberFormat="1" applyFont="1" applyFill="1" applyBorder="1" applyAlignment="1">
      <alignment horizontal="center" vertical="center"/>
    </xf>
    <xf numFmtId="8" fontId="34" fillId="2" borderId="8" xfId="0" applyNumberFormat="1" applyFont="1" applyFill="1" applyBorder="1" applyAlignment="1">
      <alignment horizontal="right" vertical="center"/>
    </xf>
    <xf numFmtId="164" fontId="0" fillId="4" borderId="29" xfId="1" applyFont="1" applyFill="1" applyBorder="1"/>
    <xf numFmtId="164" fontId="0" fillId="4" borderId="29" xfId="1" applyFont="1" applyFill="1" applyBorder="1" applyAlignment="1">
      <alignment horizontal="center" vertical="center"/>
    </xf>
    <xf numFmtId="164" fontId="0" fillId="4" borderId="29" xfId="1" applyFont="1" applyFill="1" applyBorder="1" applyAlignment="1">
      <alignment horizontal="center"/>
    </xf>
    <xf numFmtId="171" fontId="0" fillId="4" borderId="29" xfId="1" applyNumberFormat="1" applyFont="1" applyFill="1" applyBorder="1" applyAlignment="1">
      <alignment horizontal="center" vertical="center"/>
    </xf>
    <xf numFmtId="172" fontId="2" fillId="4" borderId="29" xfId="1" applyNumberFormat="1" applyFont="1" applyFill="1" applyBorder="1" applyAlignment="1">
      <alignment horizontal="center" vertical="center"/>
    </xf>
    <xf numFmtId="7" fontId="16" fillId="4" borderId="30" xfId="1" applyNumberFormat="1" applyFont="1" applyFill="1" applyBorder="1"/>
    <xf numFmtId="7" fontId="30" fillId="4" borderId="29" xfId="1" applyNumberFormat="1" applyFont="1" applyFill="1" applyBorder="1" applyAlignment="1">
      <alignment horizontal="right"/>
    </xf>
    <xf numFmtId="9" fontId="11" fillId="2" borderId="8" xfId="2" applyFont="1" applyFill="1" applyBorder="1" applyAlignment="1">
      <alignment horizontal="center" vertical="center"/>
    </xf>
    <xf numFmtId="7" fontId="0" fillId="2" borderId="8" xfId="1" applyNumberFormat="1" applyFont="1" applyFill="1" applyBorder="1" applyAlignment="1">
      <alignment horizontal="center" vertical="center"/>
    </xf>
    <xf numFmtId="7" fontId="1" fillId="0" borderId="5" xfId="1" applyNumberFormat="1" applyFont="1" applyBorder="1" applyAlignment="1">
      <alignment horizontal="right" vertical="center"/>
    </xf>
    <xf numFmtId="164" fontId="31" fillId="0" borderId="8" xfId="1" applyFont="1" applyBorder="1"/>
    <xf numFmtId="164" fontId="3" fillId="0" borderId="8" xfId="1" applyFont="1" applyBorder="1" applyAlignment="1">
      <alignment horizontal="center" vertical="center"/>
    </xf>
    <xf numFmtId="172" fontId="2" fillId="0" borderId="8" xfId="1" applyNumberFormat="1" applyFont="1" applyBorder="1" applyAlignment="1">
      <alignment horizontal="center" vertical="center"/>
    </xf>
    <xf numFmtId="7" fontId="1" fillId="0" borderId="17" xfId="1" applyNumberFormat="1" applyFont="1" applyBorder="1" applyAlignment="1">
      <alignment horizontal="right" vertical="center"/>
    </xf>
    <xf numFmtId="7" fontId="0" fillId="4" borderId="29" xfId="1" applyNumberFormat="1" applyFont="1" applyFill="1" applyBorder="1" applyAlignment="1">
      <alignment horizontal="center" vertical="center"/>
    </xf>
    <xf numFmtId="9" fontId="11" fillId="4" borderId="29" xfId="2" applyFont="1" applyFill="1" applyBorder="1" applyAlignment="1">
      <alignment horizontal="center" vertical="center"/>
    </xf>
    <xf numFmtId="7" fontId="1" fillId="4" borderId="29" xfId="1" applyNumberFormat="1" applyFont="1" applyFill="1" applyBorder="1" applyAlignment="1">
      <alignment horizontal="right" vertical="center"/>
    </xf>
    <xf numFmtId="7" fontId="1" fillId="4" borderId="30" xfId="1" applyNumberFormat="1" applyFont="1" applyFill="1" applyBorder="1" applyAlignment="1">
      <alignment horizontal="center" vertical="center"/>
    </xf>
    <xf numFmtId="164" fontId="31" fillId="2" borderId="17" xfId="1" applyFont="1" applyFill="1" applyBorder="1"/>
    <xf numFmtId="164" fontId="11" fillId="2" borderId="17" xfId="1" applyFont="1" applyFill="1" applyBorder="1"/>
    <xf numFmtId="171" fontId="11" fillId="2" borderId="17" xfId="1" applyNumberFormat="1" applyFont="1" applyFill="1" applyBorder="1" applyAlignment="1">
      <alignment horizontal="center" vertical="center"/>
    </xf>
    <xf numFmtId="172" fontId="2" fillId="2" borderId="17" xfId="1" applyNumberFormat="1" applyFont="1" applyFill="1" applyBorder="1" applyAlignment="1">
      <alignment horizontal="center" vertical="center"/>
    </xf>
    <xf numFmtId="7" fontId="16" fillId="2" borderId="18" xfId="1" applyNumberFormat="1" applyFont="1" applyFill="1" applyBorder="1"/>
    <xf numFmtId="8" fontId="34" fillId="2" borderId="17" xfId="0" applyNumberFormat="1" applyFont="1" applyFill="1" applyBorder="1" applyAlignment="1">
      <alignment horizontal="right" vertical="center"/>
    </xf>
    <xf numFmtId="9" fontId="1" fillId="2" borderId="17" xfId="2" applyFont="1" applyFill="1" applyBorder="1" applyAlignment="1">
      <alignment horizontal="center" vertical="center"/>
    </xf>
    <xf numFmtId="165" fontId="1" fillId="2" borderId="17" xfId="2" applyNumberFormat="1" applyFont="1" applyFill="1" applyBorder="1" applyAlignment="1">
      <alignment horizontal="center" vertical="center"/>
    </xf>
    <xf numFmtId="44" fontId="1" fillId="2" borderId="17" xfId="2" applyNumberFormat="1" applyFont="1" applyFill="1" applyBorder="1" applyAlignment="1">
      <alignment horizontal="center" vertical="center"/>
    </xf>
    <xf numFmtId="9" fontId="0" fillId="2" borderId="5" xfId="2" applyFont="1" applyFill="1" applyBorder="1" applyAlignment="1">
      <alignment horizontal="center" vertical="center"/>
    </xf>
    <xf numFmtId="171" fontId="11" fillId="22" borderId="29" xfId="1" applyNumberFormat="1" applyFont="1" applyFill="1" applyBorder="1" applyAlignment="1">
      <alignment horizontal="center" vertical="center"/>
    </xf>
    <xf numFmtId="172" fontId="2" fillId="22" borderId="29" xfId="1" applyNumberFormat="1" applyFont="1" applyFill="1" applyBorder="1" applyAlignment="1">
      <alignment horizontal="center" vertical="center"/>
    </xf>
    <xf numFmtId="7" fontId="16" fillId="22" borderId="30" xfId="1" applyNumberFormat="1" applyFont="1" applyFill="1" applyBorder="1"/>
    <xf numFmtId="8" fontId="34" fillId="22" borderId="29" xfId="0" applyNumberFormat="1" applyFont="1" applyFill="1" applyBorder="1" applyAlignment="1">
      <alignment horizontal="right" vertical="center"/>
    </xf>
    <xf numFmtId="164" fontId="83" fillId="4" borderId="28" xfId="1" applyFont="1" applyFill="1" applyBorder="1"/>
    <xf numFmtId="164" fontId="11" fillId="0" borderId="8" xfId="1" applyFont="1" applyBorder="1"/>
    <xf numFmtId="171" fontId="11" fillId="0" borderId="8" xfId="1" applyNumberFormat="1" applyFont="1" applyBorder="1" applyAlignment="1">
      <alignment horizontal="center" vertical="center"/>
    </xf>
    <xf numFmtId="9" fontId="0" fillId="4" borderId="29" xfId="1" applyNumberFormat="1" applyFont="1" applyFill="1" applyBorder="1"/>
    <xf numFmtId="7" fontId="0" fillId="4" borderId="29" xfId="1" applyNumberFormat="1" applyFont="1" applyFill="1" applyBorder="1" applyAlignment="1">
      <alignment horizontal="right" vertical="center"/>
    </xf>
    <xf numFmtId="7" fontId="3" fillId="4" borderId="30" xfId="1" applyNumberFormat="1" applyFont="1" applyFill="1" applyBorder="1" applyAlignment="1">
      <alignment horizontal="center" vertical="center"/>
    </xf>
    <xf numFmtId="171" fontId="0" fillId="0" borderId="5" xfId="1" applyNumberFormat="1" applyFont="1" applyFill="1" applyBorder="1" applyAlignment="1">
      <alignment horizontal="center" vertical="center"/>
    </xf>
    <xf numFmtId="8" fontId="34" fillId="2" borderId="5" xfId="0" applyNumberFormat="1" applyFont="1" applyFill="1" applyBorder="1" applyAlignment="1">
      <alignment horizontal="right"/>
    </xf>
    <xf numFmtId="8" fontId="34" fillId="5" borderId="8" xfId="0" applyNumberFormat="1" applyFont="1" applyFill="1" applyBorder="1" applyAlignment="1">
      <alignment horizontal="right"/>
    </xf>
    <xf numFmtId="7" fontId="30" fillId="0" borderId="5" xfId="1" applyNumberFormat="1" applyFont="1" applyBorder="1" applyAlignment="1">
      <alignment horizontal="right"/>
    </xf>
    <xf numFmtId="164" fontId="84" fillId="4" borderId="28" xfId="1" applyFont="1" applyFill="1" applyBorder="1"/>
    <xf numFmtId="7" fontId="3" fillId="33" borderId="3" xfId="0" applyNumberFormat="1" applyFont="1" applyFill="1" applyBorder="1"/>
    <xf numFmtId="8" fontId="34" fillId="4" borderId="29" xfId="0" applyNumberFormat="1" applyFont="1" applyFill="1" applyBorder="1" applyAlignment="1">
      <alignment horizontal="right"/>
    </xf>
    <xf numFmtId="0" fontId="30" fillId="0" borderId="8" xfId="0" applyFont="1" applyBorder="1"/>
    <xf numFmtId="171" fontId="0" fillId="0" borderId="8" xfId="1" applyNumberFormat="1" applyFont="1" applyFill="1" applyBorder="1" applyAlignment="1">
      <alignment horizontal="center" vertical="center"/>
    </xf>
    <xf numFmtId="8" fontId="34" fillId="2" borderId="8" xfId="0" applyNumberFormat="1" applyFont="1" applyFill="1" applyBorder="1" applyAlignment="1">
      <alignment horizontal="right"/>
    </xf>
    <xf numFmtId="7" fontId="3" fillId="0" borderId="8" xfId="1" applyNumberFormat="1" applyFont="1" applyBorder="1" applyAlignment="1">
      <alignment horizontal="center" vertical="center"/>
    </xf>
    <xf numFmtId="0" fontId="0" fillId="4" borderId="29" xfId="0" applyFill="1" applyBorder="1"/>
    <xf numFmtId="0" fontId="0" fillId="4" borderId="30" xfId="0" applyFill="1" applyBorder="1"/>
    <xf numFmtId="7" fontId="3" fillId="4" borderId="29" xfId="1" applyNumberFormat="1" applyFont="1" applyFill="1" applyBorder="1" applyAlignment="1">
      <alignment horizontal="center" vertical="center"/>
    </xf>
    <xf numFmtId="164" fontId="30" fillId="2" borderId="8" xfId="1" applyFont="1" applyFill="1" applyBorder="1"/>
    <xf numFmtId="172" fontId="0" fillId="2" borderId="8" xfId="1" applyNumberFormat="1" applyFont="1" applyFill="1" applyBorder="1" applyAlignment="1">
      <alignment horizontal="center" vertical="center"/>
    </xf>
    <xf numFmtId="164" fontId="34" fillId="2" borderId="3" xfId="0" applyNumberFormat="1" applyFont="1" applyFill="1" applyBorder="1" applyAlignment="1">
      <alignment horizontal="right"/>
    </xf>
    <xf numFmtId="7" fontId="3" fillId="4" borderId="50" xfId="0" applyNumberFormat="1" applyFont="1" applyFill="1" applyBorder="1" applyAlignment="1">
      <alignment horizontal="right"/>
    </xf>
    <xf numFmtId="171" fontId="11" fillId="0" borderId="8" xfId="1" applyNumberFormat="1" applyFont="1" applyBorder="1" applyAlignment="1">
      <alignment horizontal="right"/>
    </xf>
    <xf numFmtId="164" fontId="1" fillId="0" borderId="8" xfId="1" applyFont="1" applyBorder="1" applyAlignment="1">
      <alignment horizontal="center" vertical="center"/>
    </xf>
    <xf numFmtId="164" fontId="0" fillId="4" borderId="61" xfId="1" applyFont="1" applyFill="1" applyBorder="1" applyAlignment="1">
      <alignment horizontal="center" vertical="center"/>
    </xf>
    <xf numFmtId="164" fontId="1" fillId="0" borderId="3" xfId="1" applyFont="1" applyBorder="1" applyAlignment="1">
      <alignment horizontal="center" vertical="center"/>
    </xf>
    <xf numFmtId="164" fontId="4" fillId="0" borderId="5" xfId="1" applyFont="1" applyBorder="1" applyAlignment="1">
      <alignment horizontal="center"/>
    </xf>
    <xf numFmtId="164" fontId="11" fillId="0" borderId="5" xfId="1" applyFont="1" applyBorder="1" applyAlignment="1">
      <alignment horizontal="center"/>
    </xf>
    <xf numFmtId="7" fontId="1" fillId="0" borderId="3" xfId="1" applyNumberFormat="1" applyFont="1" applyBorder="1" applyAlignment="1">
      <alignment horizontal="center" vertical="center"/>
    </xf>
    <xf numFmtId="7" fontId="1" fillId="0" borderId="5" xfId="1" applyNumberFormat="1" applyFont="1" applyBorder="1" applyAlignment="1">
      <alignment horizontal="center" vertical="center"/>
    </xf>
    <xf numFmtId="0" fontId="8" fillId="0" borderId="0" xfId="32" applyFont="1" applyAlignment="1">
      <alignment horizontal="center" vertical="center"/>
    </xf>
    <xf numFmtId="164" fontId="3" fillId="22" borderId="28" xfId="1" applyFont="1" applyFill="1" applyBorder="1"/>
    <xf numFmtId="164" fontId="0" fillId="4" borderId="5" xfId="1" applyFont="1" applyFill="1" applyBorder="1"/>
    <xf numFmtId="164" fontId="0" fillId="4" borderId="5" xfId="1" applyFont="1" applyFill="1" applyBorder="1" applyAlignment="1">
      <alignment horizontal="center" vertical="center"/>
    </xf>
    <xf numFmtId="164" fontId="0" fillId="4" borderId="5" xfId="1" applyFont="1" applyFill="1" applyBorder="1" applyAlignment="1">
      <alignment horizontal="center"/>
    </xf>
    <xf numFmtId="171" fontId="0" fillId="4" borderId="5" xfId="1" applyNumberFormat="1" applyFont="1" applyFill="1" applyBorder="1" applyAlignment="1">
      <alignment horizontal="center" vertical="center"/>
    </xf>
    <xf numFmtId="172" fontId="2" fillId="4" borderId="5" xfId="1" applyNumberFormat="1" applyFont="1" applyFill="1" applyBorder="1" applyAlignment="1">
      <alignment horizontal="center" vertical="center"/>
    </xf>
    <xf numFmtId="7" fontId="16" fillId="4" borderId="14" xfId="1" applyNumberFormat="1" applyFont="1" applyFill="1" applyBorder="1"/>
    <xf numFmtId="8" fontId="34" fillId="4" borderId="17" xfId="0" applyNumberFormat="1" applyFont="1" applyFill="1" applyBorder="1" applyAlignment="1">
      <alignment horizontal="right"/>
    </xf>
    <xf numFmtId="7" fontId="30" fillId="4" borderId="3" xfId="1" applyNumberFormat="1" applyFont="1" applyFill="1" applyBorder="1" applyAlignment="1">
      <alignment horizontal="right"/>
    </xf>
    <xf numFmtId="7" fontId="3" fillId="4" borderId="18" xfId="1" applyNumberFormat="1" applyFont="1" applyFill="1" applyBorder="1" applyAlignment="1">
      <alignment horizontal="center" vertical="center"/>
    </xf>
    <xf numFmtId="0" fontId="31" fillId="34" borderId="15" xfId="0" applyFont="1" applyFill="1" applyBorder="1" applyAlignment="1">
      <alignment horizontal="left" vertical="center"/>
    </xf>
    <xf numFmtId="0" fontId="3" fillId="34" borderId="21" xfId="0" applyFont="1" applyFill="1" applyBorder="1" applyAlignment="1">
      <alignment horizontal="left" vertical="center"/>
    </xf>
    <xf numFmtId="0" fontId="3" fillId="34" borderId="21" xfId="0" applyFont="1" applyFill="1" applyBorder="1" applyAlignment="1">
      <alignment horizontal="center" vertical="center"/>
    </xf>
    <xf numFmtId="0" fontId="3" fillId="34" borderId="10" xfId="0" applyFont="1" applyFill="1" applyBorder="1" applyAlignment="1">
      <alignment horizontal="left" vertical="center"/>
    </xf>
    <xf numFmtId="0" fontId="0" fillId="34" borderId="0" xfId="0" applyFill="1"/>
    <xf numFmtId="0" fontId="0" fillId="34" borderId="3" xfId="0" applyFill="1" applyBorder="1"/>
    <xf numFmtId="165" fontId="1" fillId="2" borderId="8" xfId="2" applyNumberFormat="1" applyFont="1" applyFill="1" applyBorder="1" applyAlignment="1">
      <alignment horizontal="center" vertical="center"/>
    </xf>
    <xf numFmtId="164" fontId="11" fillId="0" borderId="5" xfId="1" applyFont="1" applyBorder="1"/>
    <xf numFmtId="7" fontId="3" fillId="34" borderId="22" xfId="0" applyNumberFormat="1" applyFont="1" applyFill="1" applyBorder="1" applyAlignment="1">
      <alignment horizontal="center" vertical="center"/>
    </xf>
    <xf numFmtId="165" fontId="3" fillId="4" borderId="30" xfId="2" applyNumberFormat="1" applyFont="1" applyFill="1" applyBorder="1" applyAlignment="1">
      <alignment horizontal="center" vertical="center"/>
    </xf>
    <xf numFmtId="44" fontId="1" fillId="0" borderId="3" xfId="2" applyNumberFormat="1" applyFont="1" applyBorder="1" applyAlignment="1">
      <alignment horizontal="center" vertical="center"/>
    </xf>
    <xf numFmtId="7" fontId="1" fillId="0" borderId="8" xfId="1" applyNumberFormat="1" applyFont="1" applyBorder="1" applyAlignment="1">
      <alignment horizontal="center" vertical="center"/>
    </xf>
    <xf numFmtId="164" fontId="11" fillId="0" borderId="17" xfId="1" applyFont="1" applyBorder="1"/>
    <xf numFmtId="164" fontId="0" fillId="0" borderId="5" xfId="1" applyFont="1" applyBorder="1" applyAlignment="1">
      <alignment horizontal="right"/>
    </xf>
    <xf numFmtId="164" fontId="0" fillId="0" borderId="3" xfId="1" applyFont="1" applyBorder="1" applyAlignment="1">
      <alignment horizontal="right"/>
    </xf>
    <xf numFmtId="7" fontId="0" fillId="22" borderId="29" xfId="1" applyNumberFormat="1" applyFont="1" applyFill="1" applyBorder="1" applyAlignment="1">
      <alignment horizontal="center" vertical="center"/>
    </xf>
    <xf numFmtId="164" fontId="3" fillId="22" borderId="29" xfId="1" applyFont="1" applyFill="1" applyBorder="1"/>
    <xf numFmtId="164" fontId="3" fillId="4" borderId="29" xfId="1" applyFont="1" applyFill="1" applyBorder="1"/>
    <xf numFmtId="0" fontId="30" fillId="0" borderId="0" xfId="0" applyFont="1" applyAlignment="1">
      <alignment horizontal="left" vertical="center"/>
    </xf>
    <xf numFmtId="167" fontId="0" fillId="0" borderId="0" xfId="2" applyNumberFormat="1" applyFont="1" applyBorder="1" applyAlignment="1">
      <alignment horizontal="center" vertical="center"/>
    </xf>
    <xf numFmtId="0" fontId="0" fillId="0" borderId="0" xfId="0" applyAlignment="1">
      <alignment horizontal="left" vertical="center"/>
    </xf>
    <xf numFmtId="164" fontId="0" fillId="0" borderId="0" xfId="0" applyNumberFormat="1" applyAlignment="1">
      <alignment horizontal="left" vertical="center"/>
    </xf>
    <xf numFmtId="0" fontId="0" fillId="0" borderId="8" xfId="0" applyBorder="1" applyAlignment="1">
      <alignment horizontal="left" vertical="center"/>
    </xf>
    <xf numFmtId="165" fontId="4" fillId="2" borderId="0" xfId="0" applyNumberFormat="1" applyFont="1" applyFill="1" applyAlignment="1">
      <alignment horizontal="center" vertical="center"/>
    </xf>
    <xf numFmtId="164" fontId="0" fillId="0" borderId="0" xfId="0" applyNumberFormat="1" applyAlignment="1">
      <alignment horizontal="center" vertical="center"/>
    </xf>
    <xf numFmtId="164" fontId="3" fillId="4" borderId="29" xfId="1" applyFont="1" applyFill="1" applyBorder="1" applyAlignment="1">
      <alignment horizontal="center" vertical="center"/>
    </xf>
    <xf numFmtId="164" fontId="39" fillId="0" borderId="17" xfId="1" applyFont="1" applyBorder="1"/>
    <xf numFmtId="164" fontId="39" fillId="0" borderId="3" xfId="1" applyFont="1" applyBorder="1"/>
    <xf numFmtId="164" fontId="39" fillId="0" borderId="5" xfId="1" applyFont="1" applyBorder="1"/>
    <xf numFmtId="7" fontId="17" fillId="22" borderId="72" xfId="1" applyNumberFormat="1" applyFont="1" applyFill="1" applyBorder="1" applyAlignment="1">
      <alignment horizontal="center" vertical="center"/>
    </xf>
    <xf numFmtId="8" fontId="34" fillId="4" borderId="61" xfId="0" applyNumberFormat="1" applyFont="1" applyFill="1" applyBorder="1" applyAlignment="1">
      <alignment horizontal="right" vertical="center"/>
    </xf>
    <xf numFmtId="7" fontId="81" fillId="4" borderId="61" xfId="1" applyNumberFormat="1" applyFont="1" applyFill="1" applyBorder="1" applyAlignment="1">
      <alignment horizontal="right" vertical="center"/>
    </xf>
    <xf numFmtId="7" fontId="30" fillId="4" borderId="61" xfId="1" applyNumberFormat="1" applyFont="1" applyFill="1" applyBorder="1" applyAlignment="1">
      <alignment horizontal="right"/>
    </xf>
    <xf numFmtId="9" fontId="1" fillId="4" borderId="72" xfId="2" applyFont="1" applyFill="1" applyBorder="1" applyAlignment="1">
      <alignment horizontal="center" vertical="center"/>
    </xf>
    <xf numFmtId="7" fontId="17" fillId="22" borderId="71" xfId="0" applyNumberFormat="1" applyFont="1" applyFill="1" applyBorder="1" applyAlignment="1">
      <alignment horizontal="right"/>
    </xf>
    <xf numFmtId="164" fontId="1" fillId="0" borderId="3" xfId="1" applyFont="1" applyBorder="1" applyAlignment="1">
      <alignment horizontal="right" vertical="center"/>
    </xf>
    <xf numFmtId="7" fontId="1" fillId="5" borderId="3" xfId="1" applyNumberFormat="1" applyFont="1" applyFill="1" applyBorder="1" applyAlignment="1">
      <alignment horizontal="right" vertical="center"/>
    </xf>
    <xf numFmtId="7" fontId="30" fillId="5" borderId="3" xfId="1" applyNumberFormat="1" applyFont="1" applyFill="1" applyBorder="1" applyAlignment="1">
      <alignment horizontal="right"/>
    </xf>
    <xf numFmtId="165" fontId="1" fillId="0" borderId="3" xfId="2" applyNumberFormat="1" applyFont="1" applyBorder="1" applyAlignment="1">
      <alignment horizontal="center" vertical="center"/>
    </xf>
    <xf numFmtId="44" fontId="1" fillId="0" borderId="5" xfId="2" applyNumberFormat="1" applyFont="1" applyBorder="1" applyAlignment="1">
      <alignment horizontal="center" vertical="center"/>
    </xf>
    <xf numFmtId="8" fontId="34" fillId="5" borderId="3" xfId="0" applyNumberFormat="1" applyFont="1" applyFill="1" applyBorder="1" applyAlignment="1">
      <alignment horizontal="right"/>
    </xf>
    <xf numFmtId="164" fontId="0" fillId="0" borderId="3" xfId="1" applyFont="1" applyBorder="1" applyAlignment="1">
      <alignment horizontal="right" vertical="center"/>
    </xf>
    <xf numFmtId="164" fontId="83" fillId="4" borderId="26" xfId="1" applyFont="1" applyFill="1" applyBorder="1"/>
    <xf numFmtId="164" fontId="0" fillId="4" borderId="73" xfId="1" applyFont="1" applyFill="1" applyBorder="1"/>
    <xf numFmtId="164" fontId="0" fillId="4" borderId="61" xfId="1" applyFont="1" applyFill="1" applyBorder="1"/>
    <xf numFmtId="164" fontId="0" fillId="4" borderId="61" xfId="1" applyFont="1" applyFill="1" applyBorder="1" applyAlignment="1">
      <alignment horizontal="center"/>
    </xf>
    <xf numFmtId="164" fontId="3" fillId="4" borderId="61" xfId="1" applyFont="1" applyFill="1" applyBorder="1"/>
    <xf numFmtId="171" fontId="0" fillId="4" borderId="61" xfId="1" applyNumberFormat="1" applyFont="1" applyFill="1" applyBorder="1" applyAlignment="1">
      <alignment horizontal="center" vertical="center"/>
    </xf>
    <xf numFmtId="9" fontId="11" fillId="4" borderId="61" xfId="2" applyFont="1" applyFill="1" applyBorder="1" applyAlignment="1">
      <alignment horizontal="center" vertical="center"/>
    </xf>
    <xf numFmtId="172" fontId="2" fillId="4" borderId="61" xfId="1" applyNumberFormat="1" applyFont="1" applyFill="1" applyBorder="1" applyAlignment="1">
      <alignment horizontal="center" vertical="center"/>
    </xf>
    <xf numFmtId="7" fontId="16" fillId="4" borderId="72" xfId="1" applyNumberFormat="1" applyFont="1" applyFill="1" applyBorder="1"/>
    <xf numFmtId="8" fontId="34" fillId="4" borderId="61" xfId="0" applyNumberFormat="1" applyFont="1" applyFill="1" applyBorder="1" applyAlignment="1">
      <alignment horizontal="right"/>
    </xf>
    <xf numFmtId="7" fontId="3" fillId="4" borderId="72" xfId="1" applyNumberFormat="1" applyFont="1" applyFill="1" applyBorder="1" applyAlignment="1">
      <alignment horizontal="center" vertical="center"/>
    </xf>
    <xf numFmtId="7" fontId="3" fillId="4" borderId="71" xfId="0" applyNumberFormat="1" applyFont="1" applyFill="1" applyBorder="1" applyAlignment="1">
      <alignment horizontal="right"/>
    </xf>
    <xf numFmtId="164" fontId="11" fillId="0" borderId="3" xfId="1" applyFont="1" applyBorder="1"/>
    <xf numFmtId="9" fontId="11" fillId="0" borderId="3" xfId="2" applyFont="1" applyBorder="1" applyAlignment="1">
      <alignment horizontal="center" vertical="center"/>
    </xf>
    <xf numFmtId="164" fontId="3" fillId="34" borderId="21" xfId="0" applyNumberFormat="1" applyFont="1" applyFill="1" applyBorder="1" applyAlignment="1">
      <alignment horizontal="left" vertical="center"/>
    </xf>
    <xf numFmtId="166" fontId="3" fillId="34" borderId="21" xfId="0" applyNumberFormat="1" applyFont="1" applyFill="1" applyBorder="1" applyAlignment="1">
      <alignment horizontal="left" vertical="center"/>
    </xf>
    <xf numFmtId="172" fontId="3" fillId="22" borderId="29" xfId="1" applyNumberFormat="1" applyFont="1" applyFill="1" applyBorder="1" applyAlignment="1">
      <alignment horizontal="center" vertical="center"/>
    </xf>
    <xf numFmtId="172" fontId="0" fillId="0" borderId="17" xfId="1" applyNumberFormat="1" applyFont="1" applyBorder="1" applyAlignment="1">
      <alignment horizontal="center" vertical="center"/>
    </xf>
    <xf numFmtId="172" fontId="0" fillId="0" borderId="8" xfId="1" applyNumberFormat="1" applyFont="1" applyBorder="1" applyAlignment="1">
      <alignment horizontal="center" vertical="center"/>
    </xf>
    <xf numFmtId="172" fontId="0" fillId="2" borderId="17" xfId="1" applyNumberFormat="1" applyFont="1" applyFill="1" applyBorder="1" applyAlignment="1">
      <alignment horizontal="center" vertical="center"/>
    </xf>
    <xf numFmtId="172" fontId="11" fillId="2" borderId="8" xfId="1" applyNumberFormat="1" applyFont="1" applyFill="1" applyBorder="1" applyAlignment="1">
      <alignment horizontal="center" vertical="center"/>
    </xf>
    <xf numFmtId="172" fontId="11" fillId="2" borderId="5" xfId="1" applyNumberFormat="1" applyFont="1" applyFill="1" applyBorder="1" applyAlignment="1">
      <alignment horizontal="center" vertical="center"/>
    </xf>
    <xf numFmtId="172" fontId="11" fillId="2" borderId="17" xfId="1" applyNumberFormat="1" applyFont="1" applyFill="1" applyBorder="1" applyAlignment="1">
      <alignment horizontal="center" vertical="center"/>
    </xf>
    <xf numFmtId="172" fontId="3" fillId="4" borderId="29" xfId="1" applyNumberFormat="1" applyFont="1" applyFill="1" applyBorder="1" applyAlignment="1">
      <alignment horizontal="center" vertical="center"/>
    </xf>
    <xf numFmtId="172" fontId="0" fillId="0" borderId="3" xfId="1" applyNumberFormat="1" applyFont="1" applyBorder="1" applyAlignment="1">
      <alignment horizontal="center" vertical="center"/>
    </xf>
    <xf numFmtId="172" fontId="3" fillId="4" borderId="61" xfId="1" applyNumberFormat="1" applyFont="1" applyFill="1" applyBorder="1" applyAlignment="1">
      <alignment horizontal="center" vertical="center"/>
    </xf>
    <xf numFmtId="9" fontId="0" fillId="0" borderId="5" xfId="0" applyNumberFormat="1" applyBorder="1" applyAlignment="1">
      <alignment horizontal="center"/>
    </xf>
    <xf numFmtId="164" fontId="0" fillId="0" borderId="5" xfId="1" applyFont="1" applyFill="1" applyBorder="1"/>
    <xf numFmtId="164" fontId="0" fillId="0" borderId="5" xfId="1" applyFont="1" applyFill="1" applyBorder="1" applyAlignment="1">
      <alignment horizontal="center" vertical="center"/>
    </xf>
    <xf numFmtId="164" fontId="0" fillId="0" borderId="5" xfId="1" applyFont="1" applyFill="1" applyBorder="1" applyAlignment="1">
      <alignment horizontal="center"/>
    </xf>
    <xf numFmtId="172" fontId="2" fillId="0" borderId="5" xfId="1" applyNumberFormat="1" applyFont="1" applyFill="1" applyBorder="1" applyAlignment="1">
      <alignment horizontal="center" vertical="center"/>
    </xf>
    <xf numFmtId="7" fontId="16" fillId="0" borderId="14" xfId="1" applyNumberFormat="1" applyFont="1" applyFill="1" applyBorder="1"/>
    <xf numFmtId="7" fontId="1" fillId="2" borderId="18" xfId="1" applyNumberFormat="1" applyFont="1" applyFill="1" applyBorder="1" applyAlignment="1">
      <alignment horizontal="center" vertical="center"/>
    </xf>
    <xf numFmtId="7" fontId="3" fillId="4" borderId="70" xfId="0" applyNumberFormat="1" applyFont="1" applyFill="1" applyBorder="1" applyAlignment="1">
      <alignment horizontal="right"/>
    </xf>
    <xf numFmtId="7" fontId="3" fillId="22" borderId="50" xfId="1" applyNumberFormat="1" applyFont="1" applyFill="1" applyBorder="1"/>
    <xf numFmtId="164" fontId="3" fillId="22" borderId="74" xfId="1" applyFont="1" applyFill="1" applyBorder="1"/>
    <xf numFmtId="164" fontId="30" fillId="2" borderId="3" xfId="1" applyFont="1" applyFill="1" applyBorder="1"/>
    <xf numFmtId="7" fontId="1" fillId="0" borderId="17" xfId="1" applyNumberFormat="1" applyFont="1" applyBorder="1" applyAlignment="1">
      <alignment horizontal="center" vertical="center"/>
    </xf>
    <xf numFmtId="7" fontId="3" fillId="4" borderId="17" xfId="0" applyNumberFormat="1" applyFont="1" applyFill="1" applyBorder="1" applyAlignment="1">
      <alignment horizontal="right"/>
    </xf>
    <xf numFmtId="164" fontId="3" fillId="4" borderId="3" xfId="1" applyFont="1" applyFill="1" applyBorder="1"/>
    <xf numFmtId="164" fontId="0" fillId="4" borderId="3" xfId="1" applyFont="1" applyFill="1" applyBorder="1" applyAlignment="1">
      <alignment horizontal="right" vertical="center"/>
    </xf>
    <xf numFmtId="164" fontId="0" fillId="0" borderId="5" xfId="1" applyFont="1" applyFill="1" applyBorder="1" applyAlignment="1">
      <alignment horizontal="right" vertical="center"/>
    </xf>
    <xf numFmtId="8" fontId="34" fillId="0" borderId="8" xfId="0" applyNumberFormat="1" applyFont="1" applyBorder="1" applyAlignment="1">
      <alignment horizontal="right"/>
    </xf>
    <xf numFmtId="7" fontId="30" fillId="0" borderId="8" xfId="1" applyNumberFormat="1" applyFont="1" applyFill="1" applyBorder="1" applyAlignment="1">
      <alignment horizontal="right"/>
    </xf>
    <xf numFmtId="7" fontId="3" fillId="0" borderId="20" xfId="1" applyNumberFormat="1" applyFont="1" applyFill="1" applyBorder="1" applyAlignment="1">
      <alignment horizontal="center" vertical="center"/>
    </xf>
    <xf numFmtId="7" fontId="1" fillId="0" borderId="20" xfId="1" applyNumberFormat="1" applyFont="1" applyFill="1" applyBorder="1" applyAlignment="1">
      <alignment horizontal="center" vertical="center"/>
    </xf>
    <xf numFmtId="44" fontId="1" fillId="0" borderId="20" xfId="2" applyNumberFormat="1" applyFont="1" applyFill="1" applyBorder="1" applyAlignment="1">
      <alignment horizontal="center" vertical="center"/>
    </xf>
    <xf numFmtId="164" fontId="30" fillId="0" borderId="8" xfId="1" applyFont="1" applyBorder="1"/>
    <xf numFmtId="164" fontId="0" fillId="4" borderId="29" xfId="1" applyFont="1" applyFill="1" applyBorder="1" applyAlignment="1">
      <alignment horizontal="right" vertical="center"/>
    </xf>
    <xf numFmtId="164" fontId="17" fillId="4" borderId="28" xfId="1" applyFont="1" applyFill="1" applyBorder="1"/>
    <xf numFmtId="7" fontId="0" fillId="30" borderId="3" xfId="0" applyNumberFormat="1" applyFill="1" applyBorder="1" applyAlignment="1">
      <alignment horizontal="right"/>
    </xf>
    <xf numFmtId="0" fontId="32" fillId="2" borderId="0" xfId="3" applyFont="1" applyFill="1" applyAlignment="1">
      <alignment horizontal="left" vertical="center"/>
    </xf>
    <xf numFmtId="10" fontId="18" fillId="2" borderId="0" xfId="2" applyNumberFormat="1" applyFont="1" applyFill="1" applyBorder="1" applyAlignment="1">
      <alignment horizontal="center" vertical="center"/>
    </xf>
    <xf numFmtId="2" fontId="18" fillId="2" borderId="0" xfId="3" applyNumberFormat="1" applyFont="1" applyFill="1" applyAlignment="1">
      <alignment horizontal="center" vertical="center"/>
    </xf>
    <xf numFmtId="4" fontId="18" fillId="2" borderId="0" xfId="3" applyNumberFormat="1" applyFont="1" applyFill="1" applyAlignment="1">
      <alignment horizontal="center" vertical="center"/>
    </xf>
    <xf numFmtId="10" fontId="18" fillId="36" borderId="21" xfId="2" applyNumberFormat="1" applyFont="1" applyFill="1" applyBorder="1" applyAlignment="1">
      <alignment horizontal="center" vertical="center"/>
    </xf>
    <xf numFmtId="0" fontId="5" fillId="36" borderId="21" xfId="3" applyFill="1" applyBorder="1" applyAlignment="1">
      <alignment vertical="center"/>
    </xf>
    <xf numFmtId="2" fontId="18" fillId="36" borderId="21" xfId="3" applyNumberFormat="1" applyFont="1" applyFill="1" applyBorder="1" applyAlignment="1">
      <alignment horizontal="center" vertical="center"/>
    </xf>
    <xf numFmtId="4" fontId="18" fillId="36" borderId="21" xfId="3" applyNumberFormat="1" applyFont="1" applyFill="1" applyBorder="1" applyAlignment="1">
      <alignment horizontal="center" vertical="center"/>
    </xf>
    <xf numFmtId="1" fontId="18" fillId="36" borderId="21" xfId="3" applyNumberFormat="1" applyFont="1" applyFill="1" applyBorder="1" applyAlignment="1">
      <alignment horizontal="center" vertical="center"/>
    </xf>
    <xf numFmtId="7" fontId="18" fillId="36" borderId="21" xfId="3" applyNumberFormat="1" applyFont="1" applyFill="1" applyBorder="1" applyAlignment="1">
      <alignment horizontal="center" vertical="center"/>
    </xf>
    <xf numFmtId="165" fontId="19" fillId="36" borderId="21" xfId="3" applyNumberFormat="1" applyFont="1" applyFill="1" applyBorder="1" applyAlignment="1">
      <alignment horizontal="center" vertical="center"/>
    </xf>
    <xf numFmtId="165" fontId="8" fillId="36" borderId="21" xfId="3" applyNumberFormat="1" applyFont="1" applyFill="1" applyBorder="1" applyAlignment="1">
      <alignment horizontal="center" vertical="center"/>
    </xf>
    <xf numFmtId="165" fontId="0" fillId="0" borderId="13" xfId="0" applyNumberFormat="1" applyBorder="1" applyAlignment="1">
      <alignment horizontal="center" vertical="center"/>
    </xf>
    <xf numFmtId="165" fontId="0" fillId="0" borderId="27" xfId="0" applyNumberFormat="1" applyBorder="1" applyAlignment="1">
      <alignment horizontal="center" vertical="center"/>
    </xf>
    <xf numFmtId="165" fontId="19" fillId="11" borderId="30" xfId="3" applyNumberFormat="1" applyFont="1" applyFill="1" applyBorder="1" applyAlignment="1">
      <alignment horizontal="center" vertical="center"/>
    </xf>
    <xf numFmtId="165" fontId="8" fillId="11" borderId="21" xfId="3" applyNumberFormat="1" applyFont="1" applyFill="1" applyBorder="1" applyAlignment="1">
      <alignment horizontal="center" vertical="center"/>
    </xf>
    <xf numFmtId="165" fontId="8" fillId="11" borderId="75" xfId="3" applyNumberFormat="1" applyFont="1" applyFill="1" applyBorder="1" applyAlignment="1">
      <alignment horizontal="center" vertical="center"/>
    </xf>
    <xf numFmtId="7" fontId="8" fillId="11" borderId="22" xfId="3" applyNumberFormat="1" applyFont="1" applyFill="1" applyBorder="1" applyAlignment="1">
      <alignment horizontal="center" vertical="center"/>
    </xf>
    <xf numFmtId="164" fontId="8" fillId="36" borderId="22" xfId="3" applyNumberFormat="1" applyFont="1" applyFill="1" applyBorder="1" applyAlignment="1">
      <alignment horizontal="center" vertical="center"/>
    </xf>
    <xf numFmtId="165" fontId="19" fillId="23" borderId="3" xfId="3" applyNumberFormat="1" applyFont="1" applyFill="1" applyBorder="1" applyAlignment="1">
      <alignment horizontal="center" vertical="center"/>
    </xf>
    <xf numFmtId="0" fontId="33" fillId="36" borderId="15" xfId="3" applyFont="1" applyFill="1" applyBorder="1" applyAlignment="1">
      <alignment horizontal="left" vertical="center"/>
    </xf>
    <xf numFmtId="0" fontId="33" fillId="2" borderId="38" xfId="3" applyFont="1" applyFill="1" applyBorder="1" applyAlignment="1">
      <alignment horizontal="left" vertical="center"/>
    </xf>
    <xf numFmtId="2" fontId="18" fillId="2" borderId="8" xfId="3" applyNumberFormat="1" applyFont="1" applyFill="1" applyBorder="1" applyAlignment="1">
      <alignment horizontal="center" vertical="center"/>
    </xf>
    <xf numFmtId="7" fontId="18" fillId="2" borderId="57" xfId="3" applyNumberFormat="1" applyFont="1" applyFill="1" applyBorder="1" applyAlignment="1">
      <alignment horizontal="center" vertical="center"/>
    </xf>
    <xf numFmtId="7" fontId="8" fillId="2" borderId="76" xfId="3" applyNumberFormat="1" applyFont="1" applyFill="1" applyBorder="1" applyAlignment="1">
      <alignment horizontal="center" vertical="center"/>
    </xf>
    <xf numFmtId="0" fontId="30" fillId="0" borderId="17" xfId="0" applyFont="1" applyBorder="1" applyAlignment="1">
      <alignment horizontal="left" vertical="center"/>
    </xf>
    <xf numFmtId="10" fontId="0" fillId="0" borderId="17" xfId="2" applyNumberFormat="1" applyFont="1" applyBorder="1" applyAlignment="1">
      <alignment horizontal="center" vertical="center"/>
    </xf>
    <xf numFmtId="0" fontId="0" fillId="0" borderId="17" xfId="0" applyBorder="1" applyAlignment="1">
      <alignment horizontal="left" vertical="center"/>
    </xf>
    <xf numFmtId="0" fontId="0" fillId="0" borderId="18" xfId="0" applyBorder="1" applyAlignment="1">
      <alignment horizontal="left" vertical="center"/>
    </xf>
    <xf numFmtId="7" fontId="0" fillId="0" borderId="17" xfId="0" applyNumberFormat="1" applyBorder="1" applyAlignment="1">
      <alignment horizontal="center" vertical="center"/>
    </xf>
    <xf numFmtId="165" fontId="4" fillId="0" borderId="17" xfId="0" applyNumberFormat="1" applyFont="1" applyBorder="1" applyAlignment="1">
      <alignment horizontal="center" vertical="center"/>
    </xf>
    <xf numFmtId="164" fontId="0" fillId="0" borderId="17" xfId="0" applyNumberFormat="1" applyBorder="1" applyAlignment="1">
      <alignment horizontal="center" vertical="center"/>
    </xf>
    <xf numFmtId="165" fontId="0" fillId="0" borderId="19" xfId="0" applyNumberFormat="1" applyBorder="1" applyAlignment="1">
      <alignment horizontal="center" vertical="center"/>
    </xf>
    <xf numFmtId="0" fontId="31" fillId="23" borderId="3" xfId="0" applyFont="1" applyFill="1" applyBorder="1" applyAlignment="1">
      <alignment horizontal="left" vertical="center"/>
    </xf>
    <xf numFmtId="0" fontId="5" fillId="23" borderId="3" xfId="3" applyFill="1" applyBorder="1" applyAlignment="1">
      <alignment vertical="center"/>
    </xf>
    <xf numFmtId="2" fontId="18" fillId="23" borderId="3" xfId="3" applyNumberFormat="1" applyFont="1" applyFill="1" applyBorder="1" applyAlignment="1">
      <alignment horizontal="center" vertical="center"/>
    </xf>
    <xf numFmtId="4" fontId="18" fillId="23" borderId="3" xfId="3" applyNumberFormat="1" applyFont="1" applyFill="1" applyBorder="1" applyAlignment="1">
      <alignment horizontal="center" vertical="center"/>
    </xf>
    <xf numFmtId="1" fontId="18" fillId="23" borderId="3" xfId="3" applyNumberFormat="1" applyFont="1" applyFill="1" applyBorder="1" applyAlignment="1">
      <alignment horizontal="center" vertical="center"/>
    </xf>
    <xf numFmtId="7" fontId="18" fillId="23" borderId="3" xfId="3" applyNumberFormat="1" applyFont="1" applyFill="1" applyBorder="1" applyAlignment="1">
      <alignment horizontal="center" vertical="center"/>
    </xf>
    <xf numFmtId="7" fontId="8" fillId="23" borderId="3" xfId="3" applyNumberFormat="1" applyFont="1" applyFill="1" applyBorder="1" applyAlignment="1">
      <alignment horizontal="center" vertical="center"/>
    </xf>
    <xf numFmtId="0" fontId="0" fillId="9" borderId="40" xfId="0" applyFill="1" applyBorder="1"/>
    <xf numFmtId="0" fontId="0" fillId="9" borderId="40" xfId="0" applyFill="1" applyBorder="1" applyAlignment="1">
      <alignment horizontal="center" vertical="center"/>
    </xf>
    <xf numFmtId="165" fontId="0" fillId="9" borderId="40" xfId="0" applyNumberFormat="1" applyFill="1" applyBorder="1"/>
    <xf numFmtId="165" fontId="0" fillId="9" borderId="40" xfId="0" applyNumberFormat="1" applyFill="1" applyBorder="1" applyAlignment="1">
      <alignment horizontal="right"/>
    </xf>
    <xf numFmtId="165" fontId="3" fillId="9" borderId="40" xfId="0" applyNumberFormat="1" applyFont="1" applyFill="1" applyBorder="1" applyAlignment="1">
      <alignment horizontal="center"/>
    </xf>
    <xf numFmtId="165" fontId="0" fillId="2" borderId="3" xfId="0" applyNumberFormat="1" applyFill="1" applyBorder="1" applyAlignment="1">
      <alignment horizontal="right"/>
    </xf>
    <xf numFmtId="165" fontId="3" fillId="2" borderId="3" xfId="0" applyNumberFormat="1" applyFont="1" applyFill="1" applyBorder="1" applyAlignment="1">
      <alignment horizontal="center"/>
    </xf>
    <xf numFmtId="0" fontId="39" fillId="37" borderId="3" xfId="0" applyFont="1" applyFill="1" applyBorder="1"/>
    <xf numFmtId="0" fontId="0" fillId="37" borderId="3" xfId="0" applyFill="1" applyBorder="1"/>
    <xf numFmtId="0" fontId="0" fillId="37" borderId="3" xfId="0" applyFill="1" applyBorder="1" applyAlignment="1">
      <alignment horizontal="center" vertical="center"/>
    </xf>
    <xf numFmtId="165" fontId="0" fillId="37" borderId="3" xfId="0" applyNumberFormat="1" applyFill="1" applyBorder="1"/>
    <xf numFmtId="165" fontId="0" fillId="37" borderId="4" xfId="0" applyNumberFormat="1" applyFill="1" applyBorder="1" applyAlignment="1">
      <alignment horizontal="right"/>
    </xf>
    <xf numFmtId="164" fontId="31" fillId="22" borderId="73" xfId="1" applyFont="1" applyFill="1" applyBorder="1"/>
    <xf numFmtId="164" fontId="0" fillId="22" borderId="61" xfId="1" applyFont="1" applyFill="1" applyBorder="1"/>
    <xf numFmtId="164" fontId="0" fillId="22" borderId="61" xfId="1" applyFont="1" applyFill="1" applyBorder="1" applyAlignment="1">
      <alignment horizontal="center" vertical="center"/>
    </xf>
    <xf numFmtId="164" fontId="0" fillId="22" borderId="61" xfId="1" applyFont="1" applyFill="1" applyBorder="1" applyAlignment="1">
      <alignment horizontal="center"/>
    </xf>
    <xf numFmtId="164" fontId="3" fillId="22" borderId="61" xfId="1" applyFont="1" applyFill="1" applyBorder="1"/>
    <xf numFmtId="172" fontId="3" fillId="22" borderId="61" xfId="1" applyNumberFormat="1" applyFont="1" applyFill="1" applyBorder="1" applyAlignment="1">
      <alignment horizontal="center" vertical="center"/>
    </xf>
    <xf numFmtId="171" fontId="0" fillId="22" borderId="61" xfId="1" applyNumberFormat="1" applyFont="1" applyFill="1" applyBorder="1" applyAlignment="1">
      <alignment horizontal="center" vertical="center"/>
    </xf>
    <xf numFmtId="164" fontId="11" fillId="2" borderId="5" xfId="1" applyFont="1" applyFill="1" applyBorder="1"/>
    <xf numFmtId="171" fontId="0" fillId="4" borderId="8" xfId="1" applyNumberFormat="1" applyFont="1" applyFill="1" applyBorder="1" applyAlignment="1">
      <alignment horizontal="center" vertical="center"/>
    </xf>
    <xf numFmtId="3" fontId="86" fillId="0" borderId="0" xfId="0" applyNumberFormat="1" applyFont="1"/>
    <xf numFmtId="164" fontId="0" fillId="4" borderId="30" xfId="1" applyFont="1" applyFill="1" applyBorder="1" applyAlignment="1">
      <alignment horizontal="center"/>
    </xf>
    <xf numFmtId="172" fontId="17" fillId="4" borderId="75" xfId="1" applyNumberFormat="1" applyFont="1" applyFill="1" applyBorder="1" applyAlignment="1">
      <alignment horizontal="center" vertical="center"/>
    </xf>
    <xf numFmtId="3" fontId="86" fillId="4" borderId="11" xfId="0" applyNumberFormat="1" applyFont="1" applyFill="1" applyBorder="1" applyAlignment="1">
      <alignment horizontal="center" vertical="center"/>
    </xf>
    <xf numFmtId="164" fontId="39" fillId="4" borderId="0" xfId="1" applyFont="1" applyFill="1" applyBorder="1"/>
    <xf numFmtId="164" fontId="0" fillId="4" borderId="0" xfId="1" applyFont="1" applyFill="1" applyBorder="1"/>
    <xf numFmtId="164" fontId="3" fillId="4" borderId="0" xfId="1" applyFont="1" applyFill="1" applyBorder="1" applyAlignment="1">
      <alignment horizontal="center" vertical="center"/>
    </xf>
    <xf numFmtId="164" fontId="0" fillId="4" borderId="0" xfId="1" applyFont="1" applyFill="1" applyBorder="1" applyAlignment="1">
      <alignment horizontal="center"/>
    </xf>
    <xf numFmtId="171" fontId="0" fillId="4" borderId="0" xfId="1" applyNumberFormat="1" applyFont="1" applyFill="1" applyBorder="1" applyAlignment="1">
      <alignment horizontal="center" vertical="center"/>
    </xf>
    <xf numFmtId="171" fontId="2" fillId="4" borderId="0" xfId="1" applyNumberFormat="1" applyFont="1" applyFill="1" applyBorder="1" applyAlignment="1">
      <alignment horizontal="center" vertical="center"/>
    </xf>
    <xf numFmtId="7" fontId="16" fillId="4" borderId="0" xfId="1" applyNumberFormat="1" applyFont="1" applyFill="1" applyBorder="1"/>
    <xf numFmtId="7" fontId="0" fillId="4" borderId="0" xfId="1" applyNumberFormat="1" applyFont="1" applyFill="1" applyBorder="1" applyAlignment="1">
      <alignment horizontal="right" vertical="center"/>
    </xf>
    <xf numFmtId="7" fontId="30" fillId="4" borderId="0" xfId="1" applyNumberFormat="1" applyFont="1" applyFill="1" applyBorder="1" applyAlignment="1">
      <alignment horizontal="right"/>
    </xf>
    <xf numFmtId="7" fontId="3" fillId="4" borderId="8" xfId="1" applyNumberFormat="1" applyFont="1" applyFill="1" applyBorder="1" applyAlignment="1">
      <alignment horizontal="center" vertical="center"/>
    </xf>
    <xf numFmtId="164" fontId="3" fillId="4" borderId="8" xfId="1" applyFont="1" applyFill="1" applyBorder="1" applyAlignment="1">
      <alignment horizontal="center" vertical="center"/>
    </xf>
    <xf numFmtId="0" fontId="33" fillId="6" borderId="28" xfId="3" applyFont="1" applyFill="1" applyBorder="1" applyAlignment="1">
      <alignment horizontal="left" vertical="center"/>
    </xf>
    <xf numFmtId="0" fontId="33" fillId="11" borderId="26" xfId="3" applyFont="1" applyFill="1" applyBorder="1" applyAlignment="1">
      <alignment horizontal="left" vertical="center"/>
    </xf>
    <xf numFmtId="165" fontId="19" fillId="11" borderId="61" xfId="3" applyNumberFormat="1" applyFont="1" applyFill="1" applyBorder="1" applyAlignment="1">
      <alignment horizontal="center" vertical="center"/>
    </xf>
    <xf numFmtId="164" fontId="8" fillId="11" borderId="61" xfId="1" applyFont="1" applyFill="1" applyBorder="1" applyAlignment="1">
      <alignment horizontal="center" vertical="center"/>
    </xf>
    <xf numFmtId="164" fontId="8" fillId="11" borderId="71" xfId="1" applyFont="1" applyFill="1" applyBorder="1" applyAlignment="1">
      <alignment horizontal="center" vertical="center"/>
    </xf>
    <xf numFmtId="164" fontId="0" fillId="0" borderId="3" xfId="0" applyNumberFormat="1" applyBorder="1"/>
    <xf numFmtId="165" fontId="3" fillId="37" borderId="3" xfId="0" applyNumberFormat="1" applyFont="1" applyFill="1" applyBorder="1" applyAlignment="1">
      <alignment horizontal="center" vertical="center"/>
    </xf>
    <xf numFmtId="165" fontId="0" fillId="2" borderId="8" xfId="0" applyNumberFormat="1" applyFill="1" applyBorder="1" applyAlignment="1">
      <alignment horizontal="center" vertical="center"/>
    </xf>
    <xf numFmtId="165" fontId="10" fillId="4" borderId="11" xfId="3" applyNumberFormat="1" applyFont="1" applyFill="1" applyBorder="1" applyAlignment="1">
      <alignment horizontal="right" vertical="center" indent="1"/>
    </xf>
    <xf numFmtId="0" fontId="87" fillId="0" borderId="0" xfId="0" applyFont="1" applyAlignment="1">
      <alignment vertical="center"/>
    </xf>
    <xf numFmtId="44" fontId="3" fillId="34" borderId="21" xfId="0" applyNumberFormat="1" applyFont="1" applyFill="1" applyBorder="1" applyAlignment="1">
      <alignment horizontal="left" vertical="center"/>
    </xf>
    <xf numFmtId="7" fontId="0" fillId="2" borderId="3" xfId="0" applyNumberFormat="1" applyFill="1" applyBorder="1"/>
    <xf numFmtId="165" fontId="0" fillId="4" borderId="3" xfId="0" applyNumberFormat="1" applyFill="1" applyBorder="1"/>
    <xf numFmtId="165" fontId="8" fillId="2" borderId="3" xfId="3" applyNumberFormat="1" applyFont="1" applyFill="1" applyBorder="1" applyAlignment="1">
      <alignment vertical="center"/>
    </xf>
    <xf numFmtId="0" fontId="5" fillId="2" borderId="33" xfId="3" applyFill="1" applyBorder="1" applyAlignment="1">
      <alignment vertical="center"/>
    </xf>
    <xf numFmtId="165" fontId="17" fillId="2" borderId="0" xfId="0" applyNumberFormat="1" applyFont="1" applyFill="1"/>
    <xf numFmtId="165" fontId="23" fillId="4" borderId="3" xfId="0" applyNumberFormat="1" applyFont="1" applyFill="1" applyBorder="1"/>
    <xf numFmtId="0" fontId="0" fillId="34" borderId="1" xfId="0" applyFill="1" applyBorder="1"/>
    <xf numFmtId="0" fontId="0" fillId="2" borderId="1" xfId="0" applyFill="1" applyBorder="1"/>
    <xf numFmtId="0" fontId="0" fillId="4" borderId="1" xfId="0" applyFill="1" applyBorder="1"/>
    <xf numFmtId="0" fontId="11" fillId="0" borderId="1" xfId="0" applyFont="1" applyBorder="1"/>
    <xf numFmtId="165" fontId="0" fillId="2" borderId="1" xfId="0" applyNumberFormat="1" applyFill="1" applyBorder="1"/>
    <xf numFmtId="165" fontId="17" fillId="4" borderId="1" xfId="0" applyNumberFormat="1" applyFont="1" applyFill="1" applyBorder="1"/>
    <xf numFmtId="0" fontId="2" fillId="0" borderId="1" xfId="0" applyFont="1" applyBorder="1"/>
    <xf numFmtId="0" fontId="3" fillId="2" borderId="1" xfId="0" applyFont="1" applyFill="1" applyBorder="1"/>
    <xf numFmtId="165" fontId="0" fillId="0" borderId="1" xfId="0" applyNumberFormat="1" applyBorder="1"/>
    <xf numFmtId="165" fontId="8" fillId="2" borderId="1" xfId="3" applyNumberFormat="1" applyFont="1" applyFill="1" applyBorder="1" applyAlignment="1">
      <alignment vertical="center"/>
    </xf>
    <xf numFmtId="165" fontId="23" fillId="4" borderId="1" xfId="0" applyNumberFormat="1" applyFont="1" applyFill="1" applyBorder="1"/>
    <xf numFmtId="165" fontId="3" fillId="4" borderId="3" xfId="0" applyNumberFormat="1" applyFont="1" applyFill="1" applyBorder="1"/>
    <xf numFmtId="165" fontId="23" fillId="2" borderId="5" xfId="0" applyNumberFormat="1" applyFont="1" applyFill="1" applyBorder="1"/>
    <xf numFmtId="7" fontId="5" fillId="2" borderId="3" xfId="3" applyNumberFormat="1" applyFill="1" applyBorder="1" applyAlignment="1">
      <alignment vertical="center"/>
    </xf>
    <xf numFmtId="179" fontId="50" fillId="0" borderId="0" xfId="0" applyNumberFormat="1" applyFont="1" applyAlignment="1">
      <alignment horizontal="right"/>
    </xf>
    <xf numFmtId="181" fontId="0" fillId="0" borderId="0" xfId="0" applyNumberFormat="1" applyAlignment="1">
      <alignment horizontal="right"/>
    </xf>
    <xf numFmtId="181" fontId="0" fillId="0" borderId="0" xfId="0" applyNumberFormat="1"/>
    <xf numFmtId="165" fontId="0" fillId="2" borderId="21" xfId="0" applyNumberFormat="1" applyFill="1" applyBorder="1"/>
    <xf numFmtId="165" fontId="0" fillId="0" borderId="22" xfId="0" applyNumberFormat="1" applyBorder="1"/>
    <xf numFmtId="165" fontId="3" fillId="4" borderId="11" xfId="0" applyNumberFormat="1" applyFont="1" applyFill="1" applyBorder="1"/>
    <xf numFmtId="165" fontId="0" fillId="38" borderId="40" xfId="0" applyNumberFormat="1" applyFill="1" applyBorder="1" applyAlignment="1">
      <alignment horizontal="center" vertical="center"/>
    </xf>
    <xf numFmtId="4" fontId="0" fillId="0" borderId="3" xfId="0" applyNumberFormat="1" applyBorder="1"/>
    <xf numFmtId="9" fontId="0" fillId="0" borderId="5" xfId="0" applyNumberFormat="1" applyBorder="1"/>
    <xf numFmtId="8" fontId="34" fillId="5" borderId="5" xfId="0" applyNumberFormat="1" applyFont="1" applyFill="1" applyBorder="1" applyAlignment="1">
      <alignment horizontal="right"/>
    </xf>
    <xf numFmtId="7" fontId="17" fillId="2" borderId="3" xfId="1" applyNumberFormat="1" applyFont="1" applyFill="1" applyBorder="1"/>
    <xf numFmtId="0" fontId="68" fillId="0" borderId="4" xfId="33" applyFont="1" applyBorder="1" applyAlignment="1">
      <alignment horizontal="left" vertical="center" wrapText="1"/>
    </xf>
    <xf numFmtId="183" fontId="76" fillId="0" borderId="4" xfId="33" quotePrefix="1" applyNumberFormat="1" applyFont="1" applyBorder="1" applyAlignment="1" applyProtection="1">
      <alignment wrapText="1"/>
      <protection hidden="1"/>
    </xf>
    <xf numFmtId="9" fontId="74" fillId="36" borderId="3" xfId="33" applyNumberFormat="1" applyFont="1" applyFill="1" applyBorder="1" applyAlignment="1" applyProtection="1">
      <alignment horizontal="right"/>
      <protection locked="0" hidden="1"/>
    </xf>
    <xf numFmtId="0" fontId="73" fillId="21" borderId="38" xfId="33" applyFont="1" applyFill="1" applyBorder="1" applyProtection="1">
      <protection hidden="1"/>
    </xf>
    <xf numFmtId="0" fontId="76" fillId="0" borderId="1" xfId="33" applyFont="1" applyBorder="1" applyAlignment="1" applyProtection="1">
      <alignment horizontal="center" vertical="center"/>
      <protection hidden="1"/>
    </xf>
    <xf numFmtId="9" fontId="76" fillId="0" borderId="3" xfId="30" applyFont="1" applyBorder="1" applyAlignment="1" applyProtection="1">
      <alignment horizontal="right" vertical="center"/>
      <protection hidden="1"/>
    </xf>
    <xf numFmtId="0" fontId="3" fillId="0" borderId="38" xfId="33" applyFont="1" applyBorder="1" applyAlignment="1" applyProtection="1">
      <alignment horizontal="center" vertical="center" wrapText="1"/>
      <protection hidden="1"/>
    </xf>
    <xf numFmtId="165" fontId="11" fillId="4" borderId="0" xfId="0" applyNumberFormat="1" applyFont="1" applyFill="1" applyAlignment="1">
      <alignment vertical="center"/>
    </xf>
    <xf numFmtId="10" fontId="18" fillId="11" borderId="10" xfId="3" applyNumberFormat="1" applyFont="1" applyFill="1" applyBorder="1" applyAlignment="1">
      <alignment horizontal="center" vertical="center"/>
    </xf>
    <xf numFmtId="4" fontId="18" fillId="11" borderId="10" xfId="3" applyNumberFormat="1" applyFont="1" applyFill="1" applyBorder="1" applyAlignment="1">
      <alignment horizontal="center" vertical="center"/>
    </xf>
    <xf numFmtId="165" fontId="19" fillId="11" borderId="10" xfId="3" applyNumberFormat="1" applyFont="1" applyFill="1" applyBorder="1" applyAlignment="1">
      <alignment horizontal="center" vertical="center"/>
    </xf>
    <xf numFmtId="7" fontId="8" fillId="11" borderId="77" xfId="3" applyNumberFormat="1" applyFont="1" applyFill="1" applyBorder="1" applyAlignment="1">
      <alignment horizontal="center" vertical="center"/>
    </xf>
    <xf numFmtId="0" fontId="3" fillId="6" borderId="33" xfId="0" applyFont="1" applyFill="1" applyBorder="1" applyAlignment="1">
      <alignment horizontal="left" vertical="center"/>
    </xf>
    <xf numFmtId="0" fontId="3" fillId="6" borderId="42" xfId="0" applyFont="1" applyFill="1" applyBorder="1" applyAlignment="1">
      <alignment horizontal="left" vertical="center"/>
    </xf>
    <xf numFmtId="0" fontId="3" fillId="6" borderId="40" xfId="0" applyFont="1" applyFill="1" applyBorder="1" applyAlignment="1">
      <alignment horizontal="left" vertical="center"/>
    </xf>
    <xf numFmtId="0" fontId="3" fillId="6" borderId="40" xfId="0" applyFont="1" applyFill="1" applyBorder="1" applyAlignment="1">
      <alignment horizontal="center" vertical="center"/>
    </xf>
    <xf numFmtId="0" fontId="3" fillId="6" borderId="24" xfId="0" applyFont="1" applyFill="1" applyBorder="1" applyAlignment="1">
      <alignment horizontal="left" vertical="center"/>
    </xf>
    <xf numFmtId="165" fontId="0" fillId="14" borderId="15" xfId="0" applyNumberFormat="1" applyFill="1" applyBorder="1" applyAlignment="1">
      <alignment horizontal="right" vertical="center"/>
    </xf>
    <xf numFmtId="165" fontId="17" fillId="2" borderId="1" xfId="0" applyNumberFormat="1" applyFont="1" applyFill="1" applyBorder="1"/>
    <xf numFmtId="7" fontId="5" fillId="4" borderId="0" xfId="3" applyNumberFormat="1" applyFill="1" applyAlignment="1">
      <alignment horizontal="right" vertical="center"/>
    </xf>
    <xf numFmtId="165" fontId="11" fillId="4" borderId="0" xfId="0" applyNumberFormat="1" applyFont="1" applyFill="1" applyAlignment="1">
      <alignment horizontal="center" vertical="center"/>
    </xf>
    <xf numFmtId="164" fontId="11" fillId="4" borderId="0" xfId="1" applyFont="1" applyFill="1" applyBorder="1" applyAlignment="1">
      <alignment vertical="center"/>
    </xf>
    <xf numFmtId="182" fontId="0" fillId="0" borderId="0" xfId="1" applyNumberFormat="1" applyFont="1"/>
    <xf numFmtId="165" fontId="0" fillId="38" borderId="38" xfId="0" applyNumberFormat="1" applyFill="1" applyBorder="1"/>
    <xf numFmtId="165" fontId="3" fillId="38" borderId="38" xfId="0" applyNumberFormat="1" applyFont="1" applyFill="1" applyBorder="1"/>
    <xf numFmtId="165" fontId="0" fillId="38" borderId="26" xfId="0" applyNumberFormat="1" applyFill="1" applyBorder="1"/>
    <xf numFmtId="165" fontId="3" fillId="0" borderId="40" xfId="0" applyNumberFormat="1" applyFont="1" applyBorder="1"/>
    <xf numFmtId="165" fontId="3" fillId="0" borderId="59" xfId="0" applyNumberFormat="1" applyFont="1" applyBorder="1"/>
    <xf numFmtId="165" fontId="3" fillId="0" borderId="37" xfId="0" applyNumberFormat="1" applyFont="1" applyBorder="1"/>
    <xf numFmtId="165" fontId="0" fillId="0" borderId="11" xfId="0" applyNumberFormat="1" applyBorder="1"/>
    <xf numFmtId="7" fontId="0" fillId="2" borderId="0" xfId="0" applyNumberFormat="1" applyFill="1" applyAlignment="1">
      <alignment horizontal="center" vertical="center"/>
    </xf>
    <xf numFmtId="171" fontId="2" fillId="22" borderId="61" xfId="1" applyNumberFormat="1" applyFont="1" applyFill="1" applyBorder="1" applyAlignment="1">
      <alignment horizontal="center" vertical="center"/>
    </xf>
    <xf numFmtId="7" fontId="16" fillId="22" borderId="61" xfId="1" applyNumberFormat="1" applyFont="1" applyFill="1" applyBorder="1"/>
    <xf numFmtId="7" fontId="0" fillId="22" borderId="61" xfId="1" applyNumberFormat="1" applyFont="1" applyFill="1" applyBorder="1" applyAlignment="1">
      <alignment horizontal="right" vertical="center"/>
    </xf>
    <xf numFmtId="7" fontId="30" fillId="22" borderId="61" xfId="1" applyNumberFormat="1" applyFont="1" applyFill="1" applyBorder="1" applyAlignment="1">
      <alignment horizontal="right"/>
    </xf>
    <xf numFmtId="7" fontId="3" fillId="22" borderId="72" xfId="1" applyNumberFormat="1" applyFont="1" applyFill="1" applyBorder="1" applyAlignment="1">
      <alignment horizontal="center" vertical="center"/>
    </xf>
    <xf numFmtId="7" fontId="0" fillId="0" borderId="3" xfId="1" applyNumberFormat="1" applyFont="1" applyBorder="1" applyAlignment="1">
      <alignment horizontal="center" vertical="center"/>
    </xf>
    <xf numFmtId="7" fontId="3" fillId="34" borderId="10" xfId="0" applyNumberFormat="1" applyFont="1" applyFill="1" applyBorder="1" applyAlignment="1">
      <alignment horizontal="center" vertical="center"/>
    </xf>
    <xf numFmtId="8" fontId="5" fillId="2" borderId="0" xfId="3" applyNumberFormat="1" applyFill="1"/>
    <xf numFmtId="2" fontId="2" fillId="2" borderId="0" xfId="0" applyNumberFormat="1" applyFont="1" applyFill="1"/>
    <xf numFmtId="0" fontId="0" fillId="2" borderId="0" xfId="0" applyFill="1" applyAlignment="1">
      <alignment vertical="top"/>
    </xf>
    <xf numFmtId="7" fontId="0" fillId="2" borderId="0" xfId="0" applyNumberFormat="1" applyFill="1" applyAlignment="1">
      <alignment horizontal="left" vertical="top"/>
    </xf>
    <xf numFmtId="164" fontId="39" fillId="5" borderId="3" xfId="1" applyFont="1" applyFill="1" applyBorder="1"/>
    <xf numFmtId="164" fontId="0" fillId="5" borderId="3" xfId="1" applyFont="1" applyFill="1" applyBorder="1"/>
    <xf numFmtId="164" fontId="0" fillId="5" borderId="3" xfId="1" applyFont="1" applyFill="1" applyBorder="1" applyAlignment="1">
      <alignment horizontal="center" vertical="center"/>
    </xf>
    <xf numFmtId="164" fontId="0" fillId="5" borderId="3" xfId="1" applyFont="1" applyFill="1" applyBorder="1" applyAlignment="1">
      <alignment horizontal="center"/>
    </xf>
    <xf numFmtId="172" fontId="0" fillId="5" borderId="3" xfId="1" applyNumberFormat="1" applyFont="1" applyFill="1" applyBorder="1" applyAlignment="1">
      <alignment horizontal="center" vertical="center"/>
    </xf>
    <xf numFmtId="7" fontId="0" fillId="5" borderId="3" xfId="1" applyNumberFormat="1" applyFont="1" applyFill="1" applyBorder="1" applyAlignment="1">
      <alignment horizontal="center" vertical="center"/>
    </xf>
    <xf numFmtId="9" fontId="11" fillId="5" borderId="3" xfId="2" applyFont="1" applyFill="1" applyBorder="1" applyAlignment="1">
      <alignment horizontal="center" vertical="center"/>
    </xf>
    <xf numFmtId="171" fontId="2" fillId="5" borderId="3" xfId="1" applyNumberFormat="1" applyFont="1" applyFill="1" applyBorder="1" applyAlignment="1">
      <alignment horizontal="center" vertical="center"/>
    </xf>
    <xf numFmtId="7" fontId="3" fillId="5" borderId="3" xfId="1" applyNumberFormat="1" applyFont="1" applyFill="1" applyBorder="1" applyAlignment="1">
      <alignment horizontal="center" vertical="center"/>
    </xf>
    <xf numFmtId="7" fontId="1" fillId="5" borderId="3" xfId="1" applyNumberFormat="1" applyFont="1" applyFill="1" applyBorder="1" applyAlignment="1">
      <alignment horizontal="center" vertical="center"/>
    </xf>
    <xf numFmtId="44" fontId="1" fillId="5" borderId="3" xfId="2" applyNumberFormat="1" applyFont="1" applyFill="1" applyBorder="1" applyAlignment="1">
      <alignment horizontal="center" vertical="center"/>
    </xf>
    <xf numFmtId="7" fontId="3" fillId="34" borderId="42" xfId="0" applyNumberFormat="1" applyFont="1" applyFill="1" applyBorder="1" applyAlignment="1">
      <alignment horizontal="center" vertical="center"/>
    </xf>
    <xf numFmtId="7" fontId="3" fillId="34" borderId="0" xfId="0" applyNumberFormat="1" applyFont="1" applyFill="1" applyAlignment="1">
      <alignment horizontal="center" vertical="center"/>
    </xf>
    <xf numFmtId="44" fontId="3" fillId="34" borderId="0" xfId="0" applyNumberFormat="1" applyFont="1" applyFill="1" applyAlignment="1">
      <alignment horizontal="left" vertical="center"/>
    </xf>
    <xf numFmtId="7" fontId="17" fillId="22" borderId="15" xfId="1" applyNumberFormat="1" applyFont="1" applyFill="1" applyBorder="1" applyAlignment="1">
      <alignment horizontal="center" vertical="center"/>
    </xf>
    <xf numFmtId="7" fontId="17" fillId="22" borderId="50" xfId="1" applyNumberFormat="1" applyFont="1" applyFill="1" applyBorder="1" applyAlignment="1">
      <alignment horizontal="center" vertical="center"/>
    </xf>
    <xf numFmtId="164" fontId="39" fillId="5" borderId="23" xfId="1" applyFont="1" applyFill="1" applyBorder="1"/>
    <xf numFmtId="164" fontId="0" fillId="5" borderId="8" xfId="1" applyFont="1" applyFill="1" applyBorder="1"/>
    <xf numFmtId="164" fontId="0" fillId="5" borderId="8" xfId="1" applyFont="1" applyFill="1" applyBorder="1" applyAlignment="1">
      <alignment horizontal="center" vertical="center"/>
    </xf>
    <xf numFmtId="164" fontId="0" fillId="5" borderId="8" xfId="1" applyFont="1" applyFill="1" applyBorder="1" applyAlignment="1">
      <alignment horizontal="center"/>
    </xf>
    <xf numFmtId="171" fontId="0" fillId="5" borderId="8" xfId="1" applyNumberFormat="1" applyFont="1" applyFill="1" applyBorder="1" applyAlignment="1">
      <alignment horizontal="center" vertical="center"/>
    </xf>
    <xf numFmtId="9" fontId="0" fillId="5" borderId="8" xfId="2" applyFont="1" applyFill="1" applyBorder="1" applyAlignment="1">
      <alignment horizontal="center" vertical="center"/>
    </xf>
    <xf numFmtId="171" fontId="2" fillId="5" borderId="8" xfId="1" applyNumberFormat="1" applyFont="1" applyFill="1" applyBorder="1" applyAlignment="1">
      <alignment horizontal="center" vertical="center"/>
    </xf>
    <xf numFmtId="7" fontId="16" fillId="5" borderId="20" xfId="1" applyNumberFormat="1" applyFont="1" applyFill="1" applyBorder="1"/>
    <xf numFmtId="7" fontId="3" fillId="5" borderId="8" xfId="1" applyNumberFormat="1" applyFont="1" applyFill="1" applyBorder="1" applyAlignment="1">
      <alignment horizontal="center" vertical="center"/>
    </xf>
    <xf numFmtId="7" fontId="11" fillId="5" borderId="17" xfId="1" applyNumberFormat="1" applyFont="1" applyFill="1" applyBorder="1" applyAlignment="1">
      <alignment horizontal="center" vertical="center"/>
    </xf>
    <xf numFmtId="44" fontId="1" fillId="5" borderId="3" xfId="1" applyNumberFormat="1" applyFont="1" applyFill="1" applyBorder="1" applyAlignment="1">
      <alignment horizontal="center" vertical="center"/>
    </xf>
    <xf numFmtId="164" fontId="1" fillId="5" borderId="3" xfId="1" applyFont="1" applyFill="1" applyBorder="1" applyAlignment="1">
      <alignment horizontal="right" vertical="center"/>
    </xf>
    <xf numFmtId="165" fontId="1" fillId="5" borderId="3" xfId="2" applyNumberFormat="1" applyFont="1" applyFill="1" applyBorder="1" applyAlignment="1">
      <alignment horizontal="center" vertical="center"/>
    </xf>
    <xf numFmtId="164" fontId="31" fillId="4" borderId="73" xfId="1" applyFont="1" applyFill="1" applyBorder="1"/>
    <xf numFmtId="164" fontId="17" fillId="4" borderId="61" xfId="1" applyFont="1" applyFill="1" applyBorder="1"/>
    <xf numFmtId="172" fontId="17" fillId="4" borderId="61" xfId="1" applyNumberFormat="1" applyFont="1" applyFill="1" applyBorder="1" applyAlignment="1">
      <alignment horizontal="center" vertical="center"/>
    </xf>
    <xf numFmtId="171" fontId="11" fillId="4" borderId="61" xfId="1" applyNumberFormat="1" applyFont="1" applyFill="1" applyBorder="1" applyAlignment="1">
      <alignment horizontal="center" vertical="center"/>
    </xf>
    <xf numFmtId="172" fontId="11" fillId="2" borderId="3" xfId="1" applyNumberFormat="1" applyFont="1" applyFill="1" applyBorder="1" applyAlignment="1">
      <alignment horizontal="center" vertical="center"/>
    </xf>
    <xf numFmtId="171" fontId="11" fillId="5" borderId="3" xfId="1" applyNumberFormat="1" applyFont="1" applyFill="1" applyBorder="1" applyAlignment="1">
      <alignment horizontal="center" vertical="center"/>
    </xf>
    <xf numFmtId="172" fontId="2" fillId="5" borderId="3" xfId="1" applyNumberFormat="1" applyFont="1" applyFill="1" applyBorder="1" applyAlignment="1">
      <alignment horizontal="center" vertical="center"/>
    </xf>
    <xf numFmtId="164" fontId="30" fillId="2" borderId="23" xfId="1" applyFont="1" applyFill="1" applyBorder="1"/>
    <xf numFmtId="164" fontId="0" fillId="2" borderId="3" xfId="1" applyFont="1" applyFill="1" applyBorder="1" applyAlignment="1">
      <alignment horizontal="right" vertical="center"/>
    </xf>
    <xf numFmtId="185" fontId="0" fillId="0" borderId="5" xfId="1" applyNumberFormat="1" applyFont="1" applyBorder="1" applyAlignment="1">
      <alignment horizontal="center" vertical="center"/>
    </xf>
    <xf numFmtId="7" fontId="11" fillId="0" borderId="18" xfId="1" applyNumberFormat="1" applyFont="1" applyBorder="1" applyAlignment="1">
      <alignment horizontal="center" vertical="center"/>
    </xf>
    <xf numFmtId="172" fontId="11" fillId="0" borderId="5" xfId="1" applyNumberFormat="1" applyFont="1" applyBorder="1" applyAlignment="1">
      <alignment horizontal="center" vertical="center"/>
    </xf>
    <xf numFmtId="7" fontId="17" fillId="22" borderId="61" xfId="1" applyNumberFormat="1" applyFont="1" applyFill="1" applyBorder="1"/>
    <xf numFmtId="7" fontId="3" fillId="34" borderId="3" xfId="0" applyNumberFormat="1" applyFont="1" applyFill="1" applyBorder="1" applyAlignment="1">
      <alignment horizontal="center" vertical="center"/>
    </xf>
    <xf numFmtId="165" fontId="3" fillId="9" borderId="15" xfId="0" applyNumberFormat="1" applyFont="1" applyFill="1" applyBorder="1" applyAlignment="1">
      <alignment horizontal="center"/>
    </xf>
    <xf numFmtId="164" fontId="11" fillId="5" borderId="3" xfId="1" applyFont="1" applyFill="1" applyBorder="1"/>
    <xf numFmtId="171" fontId="0" fillId="5" borderId="3" xfId="1" applyNumberFormat="1" applyFont="1" applyFill="1" applyBorder="1" applyAlignment="1">
      <alignment horizontal="center" vertical="center"/>
    </xf>
    <xf numFmtId="0" fontId="30" fillId="5" borderId="5" xfId="0" applyFont="1" applyFill="1" applyBorder="1"/>
    <xf numFmtId="0" fontId="0" fillId="5" borderId="5" xfId="0" applyFill="1" applyBorder="1"/>
    <xf numFmtId="0" fontId="0" fillId="5" borderId="5" xfId="0" applyFill="1" applyBorder="1" applyAlignment="1">
      <alignment horizontal="center" vertical="center"/>
    </xf>
    <xf numFmtId="172" fontId="0" fillId="5" borderId="5" xfId="1" applyNumberFormat="1" applyFont="1" applyFill="1" applyBorder="1" applyAlignment="1">
      <alignment horizontal="center" vertical="center"/>
    </xf>
    <xf numFmtId="171" fontId="0" fillId="5" borderId="5" xfId="1" applyNumberFormat="1" applyFont="1" applyFill="1" applyBorder="1" applyAlignment="1">
      <alignment horizontal="center" vertical="center"/>
    </xf>
    <xf numFmtId="7" fontId="30" fillId="5" borderId="5" xfId="1" applyNumberFormat="1" applyFont="1" applyFill="1" applyBorder="1" applyAlignment="1">
      <alignment horizontal="right"/>
    </xf>
    <xf numFmtId="7" fontId="3" fillId="5" borderId="5" xfId="1" applyNumberFormat="1" applyFont="1" applyFill="1" applyBorder="1" applyAlignment="1">
      <alignment horizontal="center" vertical="center"/>
    </xf>
    <xf numFmtId="7" fontId="1" fillId="5" borderId="5" xfId="1" applyNumberFormat="1" applyFont="1" applyFill="1" applyBorder="1" applyAlignment="1">
      <alignment horizontal="center" vertical="center"/>
    </xf>
    <xf numFmtId="44" fontId="1" fillId="5" borderId="20" xfId="2" applyNumberFormat="1" applyFont="1" applyFill="1" applyBorder="1" applyAlignment="1">
      <alignment horizontal="center" vertical="center"/>
    </xf>
    <xf numFmtId="9" fontId="0" fillId="5" borderId="3" xfId="2" applyFont="1" applyFill="1" applyBorder="1" applyAlignment="1">
      <alignment horizontal="center" vertical="center"/>
    </xf>
    <xf numFmtId="7" fontId="16" fillId="5" borderId="1" xfId="1" applyNumberFormat="1" applyFont="1" applyFill="1" applyBorder="1"/>
    <xf numFmtId="7" fontId="3" fillId="5" borderId="17" xfId="1" applyNumberFormat="1" applyFont="1" applyFill="1" applyBorder="1" applyAlignment="1">
      <alignment horizontal="center" vertical="center"/>
    </xf>
    <xf numFmtId="7" fontId="1" fillId="5" borderId="17" xfId="1" applyNumberFormat="1" applyFont="1" applyFill="1" applyBorder="1" applyAlignment="1">
      <alignment horizontal="center" vertical="center"/>
    </xf>
    <xf numFmtId="44" fontId="1" fillId="5" borderId="18" xfId="2" applyNumberFormat="1" applyFont="1" applyFill="1" applyBorder="1" applyAlignment="1">
      <alignment horizontal="center" vertical="center"/>
    </xf>
    <xf numFmtId="164" fontId="0" fillId="5" borderId="17" xfId="1" applyFont="1" applyFill="1" applyBorder="1" applyAlignment="1">
      <alignment horizontal="right" vertical="center"/>
    </xf>
    <xf numFmtId="9" fontId="0" fillId="0" borderId="3" xfId="1" applyNumberFormat="1" applyFont="1" applyBorder="1"/>
    <xf numFmtId="164" fontId="11" fillId="5" borderId="23" xfId="1" applyFont="1" applyFill="1" applyBorder="1"/>
    <xf numFmtId="9" fontId="0" fillId="5" borderId="8" xfId="1" applyNumberFormat="1" applyFont="1" applyFill="1" applyBorder="1"/>
    <xf numFmtId="164" fontId="1" fillId="5" borderId="8" xfId="1" applyFont="1" applyFill="1" applyBorder="1" applyAlignment="1">
      <alignment horizontal="center" vertical="center"/>
    </xf>
    <xf numFmtId="172" fontId="0" fillId="5" borderId="8" xfId="1" applyNumberFormat="1" applyFont="1" applyFill="1" applyBorder="1" applyAlignment="1">
      <alignment horizontal="center" vertical="center"/>
    </xf>
    <xf numFmtId="7" fontId="0" fillId="5" borderId="8" xfId="1" applyNumberFormat="1" applyFont="1" applyFill="1" applyBorder="1" applyAlignment="1">
      <alignment horizontal="center" vertical="center"/>
    </xf>
    <xf numFmtId="9" fontId="11" fillId="5" borderId="8" xfId="2" applyFont="1" applyFill="1" applyBorder="1" applyAlignment="1">
      <alignment horizontal="center" vertical="center"/>
    </xf>
    <xf numFmtId="172" fontId="2" fillId="5" borderId="8" xfId="1" applyNumberFormat="1" applyFont="1" applyFill="1" applyBorder="1" applyAlignment="1">
      <alignment horizontal="center" vertical="center"/>
    </xf>
    <xf numFmtId="164" fontId="0" fillId="5" borderId="8" xfId="1" applyFont="1" applyFill="1" applyBorder="1" applyAlignment="1">
      <alignment horizontal="right" vertical="center"/>
    </xf>
    <xf numFmtId="7" fontId="3" fillId="5" borderId="20" xfId="1" applyNumberFormat="1" applyFont="1" applyFill="1" applyBorder="1" applyAlignment="1">
      <alignment horizontal="center" vertical="center"/>
    </xf>
    <xf numFmtId="7" fontId="1" fillId="5" borderId="20" xfId="1" applyNumberFormat="1" applyFont="1" applyFill="1" applyBorder="1" applyAlignment="1">
      <alignment horizontal="center" vertical="center"/>
    </xf>
    <xf numFmtId="9" fontId="0" fillId="5" borderId="5" xfId="0" applyNumberFormat="1" applyFill="1" applyBorder="1"/>
    <xf numFmtId="8" fontId="0" fillId="5" borderId="5" xfId="0" applyNumberFormat="1" applyFill="1" applyBorder="1"/>
    <xf numFmtId="44" fontId="1" fillId="5" borderId="5" xfId="2" applyNumberFormat="1" applyFont="1" applyFill="1" applyBorder="1" applyAlignment="1">
      <alignment horizontal="center" vertical="center"/>
    </xf>
    <xf numFmtId="7" fontId="17" fillId="4" borderId="71" xfId="0" applyNumberFormat="1" applyFont="1" applyFill="1" applyBorder="1" applyAlignment="1">
      <alignment horizontal="right"/>
    </xf>
    <xf numFmtId="7" fontId="3" fillId="34" borderId="21" xfId="0" applyNumberFormat="1" applyFont="1" applyFill="1" applyBorder="1" applyAlignment="1">
      <alignment horizontal="center" vertical="center"/>
    </xf>
    <xf numFmtId="164" fontId="0" fillId="4" borderId="0" xfId="1" applyFont="1" applyFill="1" applyBorder="1" applyAlignment="1">
      <alignment horizontal="right" vertical="center"/>
    </xf>
    <xf numFmtId="164" fontId="1" fillId="0" borderId="5" xfId="1" applyFont="1" applyFill="1" applyBorder="1" applyAlignment="1">
      <alignment horizontal="left" vertical="center"/>
    </xf>
    <xf numFmtId="44" fontId="3" fillId="2" borderId="3" xfId="0" applyNumberFormat="1" applyFont="1" applyFill="1" applyBorder="1"/>
    <xf numFmtId="164" fontId="0" fillId="2" borderId="0" xfId="0" applyNumberFormat="1" applyFill="1"/>
    <xf numFmtId="7" fontId="0" fillId="6" borderId="3" xfId="0" applyNumberFormat="1" applyFill="1" applyBorder="1"/>
    <xf numFmtId="164" fontId="17" fillId="6" borderId="3" xfId="0" applyNumberFormat="1" applyFont="1" applyFill="1" applyBorder="1" applyAlignment="1">
      <alignment horizontal="right" vertical="center"/>
    </xf>
    <xf numFmtId="7" fontId="17" fillId="6" borderId="3" xfId="0" applyNumberFormat="1" applyFont="1" applyFill="1" applyBorder="1" applyAlignment="1">
      <alignment horizontal="right" vertical="center"/>
    </xf>
    <xf numFmtId="0" fontId="0" fillId="2" borderId="4" xfId="0" applyFill="1" applyBorder="1"/>
    <xf numFmtId="165" fontId="8" fillId="7" borderId="25" xfId="3" applyNumberFormat="1" applyFont="1" applyFill="1" applyBorder="1" applyAlignment="1">
      <alignment horizontal="right" vertical="center"/>
    </xf>
    <xf numFmtId="0" fontId="31" fillId="21" borderId="15" xfId="0" applyFont="1" applyFill="1" applyBorder="1" applyAlignment="1">
      <alignment horizontal="left" vertical="center"/>
    </xf>
    <xf numFmtId="0" fontId="3" fillId="21" borderId="21" xfId="0" applyFont="1" applyFill="1" applyBorder="1" applyAlignment="1">
      <alignment horizontal="left" vertical="center"/>
    </xf>
    <xf numFmtId="0" fontId="3" fillId="21" borderId="21" xfId="0" applyFont="1" applyFill="1" applyBorder="1" applyAlignment="1">
      <alignment horizontal="center" vertical="center"/>
    </xf>
    <xf numFmtId="164" fontId="3" fillId="21" borderId="21" xfId="0" applyNumberFormat="1" applyFont="1" applyFill="1" applyBorder="1" applyAlignment="1">
      <alignment horizontal="left" vertical="center"/>
    </xf>
    <xf numFmtId="166" fontId="3" fillId="21" borderId="21" xfId="0" applyNumberFormat="1" applyFont="1" applyFill="1" applyBorder="1" applyAlignment="1">
      <alignment horizontal="left" vertical="center"/>
    </xf>
    <xf numFmtId="0" fontId="3" fillId="21" borderId="10" xfId="0" applyFont="1" applyFill="1" applyBorder="1" applyAlignment="1">
      <alignment horizontal="left" vertical="center"/>
    </xf>
    <xf numFmtId="7" fontId="3" fillId="21" borderId="10" xfId="0" applyNumberFormat="1" applyFont="1" applyFill="1" applyBorder="1" applyAlignment="1">
      <alignment horizontal="center" vertical="center"/>
    </xf>
    <xf numFmtId="7" fontId="17" fillId="22" borderId="30" xfId="1" applyNumberFormat="1" applyFont="1" applyFill="1" applyBorder="1" applyAlignment="1">
      <alignment horizontal="center" vertical="center"/>
    </xf>
    <xf numFmtId="7" fontId="3" fillId="2" borderId="3" xfId="0" applyNumberFormat="1" applyFont="1" applyFill="1" applyBorder="1"/>
    <xf numFmtId="164" fontId="39" fillId="0" borderId="8" xfId="1" applyFont="1" applyBorder="1"/>
    <xf numFmtId="7" fontId="0" fillId="0" borderId="8" xfId="1" applyNumberFormat="1" applyFont="1" applyBorder="1" applyAlignment="1">
      <alignment horizontal="center" vertical="center"/>
    </xf>
    <xf numFmtId="171" fontId="2" fillId="0" borderId="8" xfId="1" applyNumberFormat="1" applyFont="1" applyBorder="1" applyAlignment="1">
      <alignment horizontal="center" vertical="center"/>
    </xf>
    <xf numFmtId="7" fontId="0" fillId="0" borderId="8" xfId="1" applyNumberFormat="1" applyFont="1" applyBorder="1" applyAlignment="1">
      <alignment horizontal="right" vertical="center"/>
    </xf>
    <xf numFmtId="164" fontId="39" fillId="29" borderId="23" xfId="1" applyFont="1" applyFill="1" applyBorder="1"/>
    <xf numFmtId="164" fontId="0" fillId="29" borderId="8" xfId="1" applyFont="1" applyFill="1" applyBorder="1"/>
    <xf numFmtId="164" fontId="0" fillId="29" borderId="8" xfId="1" applyFont="1" applyFill="1" applyBorder="1" applyAlignment="1">
      <alignment horizontal="center" vertical="center"/>
    </xf>
    <xf numFmtId="164" fontId="0" fillId="29" borderId="8" xfId="1" applyFont="1" applyFill="1" applyBorder="1" applyAlignment="1">
      <alignment horizontal="center"/>
    </xf>
    <xf numFmtId="172" fontId="0" fillId="29" borderId="8" xfId="1" applyNumberFormat="1" applyFont="1" applyFill="1" applyBorder="1" applyAlignment="1">
      <alignment horizontal="center" vertical="center"/>
    </xf>
    <xf numFmtId="7" fontId="0" fillId="29" borderId="8" xfId="1" applyNumberFormat="1" applyFont="1" applyFill="1" applyBorder="1" applyAlignment="1">
      <alignment horizontal="center" vertical="center"/>
    </xf>
    <xf numFmtId="9" fontId="11" fillId="29" borderId="8" xfId="2" applyFont="1" applyFill="1" applyBorder="1" applyAlignment="1">
      <alignment horizontal="center" vertical="center"/>
    </xf>
    <xf numFmtId="171" fontId="2" fillId="29" borderId="8" xfId="1" applyNumberFormat="1" applyFont="1" applyFill="1" applyBorder="1" applyAlignment="1">
      <alignment horizontal="center" vertical="center"/>
    </xf>
    <xf numFmtId="7" fontId="16" fillId="29" borderId="20" xfId="1" applyNumberFormat="1" applyFont="1" applyFill="1" applyBorder="1"/>
    <xf numFmtId="7" fontId="0" fillId="29" borderId="8" xfId="1" applyNumberFormat="1" applyFont="1" applyFill="1" applyBorder="1" applyAlignment="1">
      <alignment horizontal="right" vertical="center"/>
    </xf>
    <xf numFmtId="7" fontId="30" fillId="29" borderId="8" xfId="1" applyNumberFormat="1" applyFont="1" applyFill="1" applyBorder="1" applyAlignment="1">
      <alignment horizontal="right"/>
    </xf>
    <xf numFmtId="7" fontId="3" fillId="29" borderId="20" xfId="1" applyNumberFormat="1" applyFont="1" applyFill="1" applyBorder="1" applyAlignment="1">
      <alignment horizontal="center" vertical="center"/>
    </xf>
    <xf numFmtId="7" fontId="1" fillId="29" borderId="20" xfId="1" applyNumberFormat="1" applyFont="1" applyFill="1" applyBorder="1" applyAlignment="1">
      <alignment horizontal="center" vertical="center"/>
    </xf>
    <xf numFmtId="44" fontId="1" fillId="29" borderId="20" xfId="2" applyNumberFormat="1" applyFont="1" applyFill="1" applyBorder="1" applyAlignment="1">
      <alignment horizontal="center" vertical="center"/>
    </xf>
    <xf numFmtId="7" fontId="0" fillId="29" borderId="20" xfId="0" applyNumberFormat="1" applyFill="1" applyBorder="1" applyAlignment="1">
      <alignment horizontal="right"/>
    </xf>
    <xf numFmtId="7" fontId="0" fillId="33" borderId="3" xfId="0" applyNumberFormat="1" applyFill="1" applyBorder="1"/>
    <xf numFmtId="164" fontId="39" fillId="29" borderId="3" xfId="1" applyFont="1" applyFill="1" applyBorder="1"/>
    <xf numFmtId="164" fontId="0" fillId="29" borderId="3" xfId="1" applyFont="1" applyFill="1" applyBorder="1"/>
    <xf numFmtId="164" fontId="0" fillId="29" borderId="3" xfId="1" applyFont="1" applyFill="1" applyBorder="1" applyAlignment="1">
      <alignment horizontal="center" vertical="center"/>
    </xf>
    <xf numFmtId="164" fontId="0" fillId="29" borderId="3" xfId="1" applyFont="1" applyFill="1" applyBorder="1" applyAlignment="1">
      <alignment horizontal="center"/>
    </xf>
    <xf numFmtId="171" fontId="0" fillId="29" borderId="3" xfId="1" applyNumberFormat="1" applyFont="1" applyFill="1" applyBorder="1" applyAlignment="1">
      <alignment horizontal="center" vertical="center"/>
    </xf>
    <xf numFmtId="9" fontId="0" fillId="29" borderId="3" xfId="2" applyFont="1" applyFill="1" applyBorder="1" applyAlignment="1">
      <alignment horizontal="center" vertical="center"/>
    </xf>
    <xf numFmtId="171" fontId="2" fillId="29" borderId="3" xfId="1" applyNumberFormat="1" applyFont="1" applyFill="1" applyBorder="1" applyAlignment="1">
      <alignment horizontal="center" vertical="center"/>
    </xf>
    <xf numFmtId="7" fontId="16" fillId="29" borderId="3" xfId="1" applyNumberFormat="1" applyFont="1" applyFill="1" applyBorder="1"/>
    <xf numFmtId="7" fontId="0" fillId="29" borderId="3" xfId="1" applyNumberFormat="1" applyFont="1" applyFill="1" applyBorder="1" applyAlignment="1">
      <alignment horizontal="right" vertical="center"/>
    </xf>
    <xf numFmtId="7" fontId="30" fillId="29" borderId="3" xfId="1" applyNumberFormat="1" applyFont="1" applyFill="1" applyBorder="1" applyAlignment="1">
      <alignment horizontal="right"/>
    </xf>
    <xf numFmtId="7" fontId="3" fillId="29" borderId="3" xfId="1" applyNumberFormat="1" applyFont="1" applyFill="1" applyBorder="1" applyAlignment="1">
      <alignment horizontal="center" vertical="center"/>
    </xf>
    <xf numFmtId="7" fontId="11" fillId="29" borderId="3" xfId="1" applyNumberFormat="1" applyFont="1" applyFill="1" applyBorder="1" applyAlignment="1">
      <alignment horizontal="center" vertical="center"/>
    </xf>
    <xf numFmtId="44" fontId="1" fillId="29" borderId="17" xfId="1" applyNumberFormat="1" applyFont="1" applyFill="1" applyBorder="1" applyAlignment="1">
      <alignment horizontal="center" vertical="center"/>
    </xf>
    <xf numFmtId="7" fontId="0" fillId="29" borderId="17" xfId="0" applyNumberFormat="1" applyFill="1" applyBorder="1" applyAlignment="1">
      <alignment horizontal="right"/>
    </xf>
    <xf numFmtId="164" fontId="88" fillId="0" borderId="3" xfId="1" applyFont="1" applyBorder="1"/>
    <xf numFmtId="171" fontId="11" fillId="22" borderId="61" xfId="1" applyNumberFormat="1" applyFont="1" applyFill="1" applyBorder="1" applyAlignment="1">
      <alignment horizontal="center" vertical="center"/>
    </xf>
    <xf numFmtId="172" fontId="2" fillId="22" borderId="61" xfId="1" applyNumberFormat="1" applyFont="1" applyFill="1" applyBorder="1" applyAlignment="1">
      <alignment horizontal="center" vertical="center"/>
    </xf>
    <xf numFmtId="7" fontId="16" fillId="22" borderId="72" xfId="1" applyNumberFormat="1" applyFont="1" applyFill="1" applyBorder="1"/>
    <xf numFmtId="8" fontId="34" fillId="22" borderId="61" xfId="0" applyNumberFormat="1" applyFont="1" applyFill="1" applyBorder="1" applyAlignment="1">
      <alignment horizontal="right" vertical="center"/>
    </xf>
    <xf numFmtId="44" fontId="3" fillId="22" borderId="72" xfId="1" applyNumberFormat="1" applyFont="1" applyFill="1" applyBorder="1" applyAlignment="1">
      <alignment horizontal="center" vertical="center"/>
    </xf>
    <xf numFmtId="44" fontId="0" fillId="2" borderId="3" xfId="0" applyNumberFormat="1" applyFill="1" applyBorder="1"/>
    <xf numFmtId="171" fontId="11" fillId="29" borderId="8" xfId="1" applyNumberFormat="1" applyFont="1" applyFill="1" applyBorder="1" applyAlignment="1">
      <alignment horizontal="center" vertical="center"/>
    </xf>
    <xf numFmtId="172" fontId="2" fillId="29" borderId="8" xfId="1" applyNumberFormat="1" applyFont="1" applyFill="1" applyBorder="1" applyAlignment="1">
      <alignment horizontal="center" vertical="center"/>
    </xf>
    <xf numFmtId="164" fontId="1" fillId="29" borderId="3" xfId="1" applyFont="1" applyFill="1" applyBorder="1" applyAlignment="1">
      <alignment horizontal="right" vertical="center"/>
    </xf>
    <xf numFmtId="7" fontId="1" fillId="29" borderId="3" xfId="1" applyNumberFormat="1" applyFont="1" applyFill="1" applyBorder="1" applyAlignment="1">
      <alignment horizontal="right" vertical="center"/>
    </xf>
    <xf numFmtId="7" fontId="1" fillId="29" borderId="3" xfId="1" applyNumberFormat="1" applyFont="1" applyFill="1" applyBorder="1" applyAlignment="1">
      <alignment horizontal="center" vertical="center"/>
    </xf>
    <xf numFmtId="165" fontId="1" fillId="29" borderId="3" xfId="2" applyNumberFormat="1" applyFont="1" applyFill="1" applyBorder="1" applyAlignment="1">
      <alignment horizontal="center" vertical="center"/>
    </xf>
    <xf numFmtId="44" fontId="1" fillId="29" borderId="3" xfId="2" applyNumberFormat="1" applyFont="1" applyFill="1" applyBorder="1" applyAlignment="1">
      <alignment horizontal="center" vertical="center"/>
    </xf>
    <xf numFmtId="164" fontId="88" fillId="36" borderId="28" xfId="1" applyFont="1" applyFill="1" applyBorder="1"/>
    <xf numFmtId="164" fontId="0" fillId="36" borderId="29" xfId="1" applyFont="1" applyFill="1" applyBorder="1"/>
    <xf numFmtId="164" fontId="0" fillId="36" borderId="29" xfId="1" applyFont="1" applyFill="1" applyBorder="1" applyAlignment="1">
      <alignment horizontal="center" vertical="center"/>
    </xf>
    <xf numFmtId="164" fontId="0" fillId="36" borderId="29" xfId="1" applyFont="1" applyFill="1" applyBorder="1" applyAlignment="1">
      <alignment horizontal="center"/>
    </xf>
    <xf numFmtId="172" fontId="11" fillId="36" borderId="29" xfId="1" applyNumberFormat="1" applyFont="1" applyFill="1" applyBorder="1" applyAlignment="1">
      <alignment horizontal="center" vertical="center"/>
    </xf>
    <xf numFmtId="7" fontId="0" fillId="36" borderId="29" xfId="1" applyNumberFormat="1" applyFont="1" applyFill="1" applyBorder="1" applyAlignment="1">
      <alignment horizontal="center" vertical="center"/>
    </xf>
    <xf numFmtId="9" fontId="11" fillId="36" borderId="29" xfId="2" applyFont="1" applyFill="1" applyBorder="1" applyAlignment="1">
      <alignment horizontal="center" vertical="center"/>
    </xf>
    <xf numFmtId="172" fontId="2" fillId="36" borderId="29" xfId="1" applyNumberFormat="1" applyFont="1" applyFill="1" applyBorder="1" applyAlignment="1">
      <alignment horizontal="center" vertical="center"/>
    </xf>
    <xf numFmtId="7" fontId="16" fillId="36" borderId="30" xfId="1" applyNumberFormat="1" applyFont="1" applyFill="1" applyBorder="1"/>
    <xf numFmtId="7" fontId="1" fillId="36" borderId="29" xfId="1" applyNumberFormat="1" applyFont="1" applyFill="1" applyBorder="1" applyAlignment="1">
      <alignment horizontal="right" vertical="center"/>
    </xf>
    <xf numFmtId="7" fontId="30" fillId="36" borderId="29" xfId="1" applyNumberFormat="1" applyFont="1" applyFill="1" applyBorder="1" applyAlignment="1">
      <alignment horizontal="right"/>
    </xf>
    <xf numFmtId="7" fontId="1" fillId="36" borderId="30" xfId="1" applyNumberFormat="1" applyFont="1" applyFill="1" applyBorder="1" applyAlignment="1">
      <alignment horizontal="center" vertical="center"/>
    </xf>
    <xf numFmtId="165" fontId="3" fillId="36" borderId="30" xfId="2" applyNumberFormat="1" applyFont="1" applyFill="1" applyBorder="1" applyAlignment="1">
      <alignment horizontal="center" vertical="center"/>
    </xf>
    <xf numFmtId="7" fontId="3" fillId="36" borderId="50" xfId="0" applyNumberFormat="1" applyFont="1" applyFill="1" applyBorder="1" applyAlignment="1">
      <alignment horizontal="right" wrapText="1"/>
    </xf>
    <xf numFmtId="164" fontId="82" fillId="4" borderId="28" xfId="1" applyFont="1" applyFill="1" applyBorder="1"/>
    <xf numFmtId="172" fontId="17" fillId="4" borderId="29" xfId="1" applyNumberFormat="1" applyFont="1" applyFill="1" applyBorder="1" applyAlignment="1">
      <alignment horizontal="center" vertical="center"/>
    </xf>
    <xf numFmtId="44" fontId="3" fillId="4" borderId="30" xfId="2" applyNumberFormat="1" applyFont="1" applyFill="1" applyBorder="1" applyAlignment="1">
      <alignment horizontal="center" vertical="center"/>
    </xf>
    <xf numFmtId="164" fontId="11" fillId="29" borderId="5" xfId="1" applyFont="1" applyFill="1" applyBorder="1"/>
    <xf numFmtId="164" fontId="0" fillId="29" borderId="5" xfId="1" applyFont="1" applyFill="1" applyBorder="1"/>
    <xf numFmtId="164" fontId="0" fillId="29" borderId="5" xfId="1" applyFont="1" applyFill="1" applyBorder="1" applyAlignment="1">
      <alignment horizontal="center"/>
    </xf>
    <xf numFmtId="172" fontId="0" fillId="29" borderId="5" xfId="1" applyNumberFormat="1" applyFont="1" applyFill="1" applyBorder="1" applyAlignment="1">
      <alignment horizontal="center" vertical="center"/>
    </xf>
    <xf numFmtId="7" fontId="0" fillId="29" borderId="5" xfId="1" applyNumberFormat="1" applyFont="1" applyFill="1" applyBorder="1" applyAlignment="1">
      <alignment horizontal="center" vertical="center"/>
    </xf>
    <xf numFmtId="9" fontId="11" fillId="29" borderId="5" xfId="2" applyFont="1" applyFill="1" applyBorder="1" applyAlignment="1">
      <alignment horizontal="center" vertical="center"/>
    </xf>
    <xf numFmtId="172" fontId="2" fillId="29" borderId="5" xfId="1" applyNumberFormat="1" applyFont="1" applyFill="1" applyBorder="1" applyAlignment="1">
      <alignment horizontal="center" vertical="center"/>
    </xf>
    <xf numFmtId="7" fontId="16" fillId="29" borderId="14" xfId="1" applyNumberFormat="1" applyFont="1" applyFill="1" applyBorder="1"/>
    <xf numFmtId="164" fontId="0" fillId="29" borderId="3" xfId="1" applyFont="1" applyFill="1" applyBorder="1" applyAlignment="1">
      <alignment horizontal="right" vertical="center"/>
    </xf>
    <xf numFmtId="7" fontId="0" fillId="29" borderId="17" xfId="1" applyNumberFormat="1" applyFont="1" applyFill="1" applyBorder="1" applyAlignment="1">
      <alignment horizontal="right" vertical="center"/>
    </xf>
    <xf numFmtId="7" fontId="30" fillId="29" borderId="17" xfId="1" applyNumberFormat="1" applyFont="1" applyFill="1" applyBorder="1" applyAlignment="1">
      <alignment horizontal="right"/>
    </xf>
    <xf numFmtId="7" fontId="3" fillId="29" borderId="18" xfId="1" applyNumberFormat="1" applyFont="1" applyFill="1" applyBorder="1" applyAlignment="1">
      <alignment horizontal="center" vertical="center"/>
    </xf>
    <xf numFmtId="7" fontId="1" fillId="29" borderId="18" xfId="1" applyNumberFormat="1" applyFont="1" applyFill="1" applyBorder="1" applyAlignment="1">
      <alignment horizontal="center" vertical="center"/>
    </xf>
    <xf numFmtId="44" fontId="1" fillId="29" borderId="18" xfId="2" applyNumberFormat="1" applyFont="1" applyFill="1" applyBorder="1" applyAlignment="1">
      <alignment horizontal="center" vertical="center"/>
    </xf>
    <xf numFmtId="164" fontId="1" fillId="0" borderId="5" xfId="1" applyFont="1" applyBorder="1" applyAlignment="1">
      <alignment horizontal="center" vertical="center"/>
    </xf>
    <xf numFmtId="0" fontId="31" fillId="36" borderId="23" xfId="0" applyFont="1" applyFill="1" applyBorder="1"/>
    <xf numFmtId="0" fontId="0" fillId="36" borderId="8" xfId="0" applyFill="1" applyBorder="1"/>
    <xf numFmtId="164" fontId="3" fillId="36" borderId="8" xfId="0" applyNumberFormat="1" applyFont="1" applyFill="1" applyBorder="1" applyAlignment="1">
      <alignment horizontal="center" vertical="center"/>
    </xf>
    <xf numFmtId="171" fontId="0" fillId="36" borderId="8" xfId="1" applyNumberFormat="1" applyFont="1" applyFill="1" applyBorder="1" applyAlignment="1">
      <alignment horizontal="center" vertical="center"/>
    </xf>
    <xf numFmtId="9" fontId="0" fillId="36" borderId="8" xfId="0" applyNumberFormat="1" applyFill="1" applyBorder="1"/>
    <xf numFmtId="0" fontId="0" fillId="36" borderId="20" xfId="0" applyFill="1" applyBorder="1"/>
    <xf numFmtId="8" fontId="34" fillId="36" borderId="8" xfId="0" applyNumberFormat="1" applyFont="1" applyFill="1" applyBorder="1" applyAlignment="1">
      <alignment horizontal="right"/>
    </xf>
    <xf numFmtId="7" fontId="30" fillId="36" borderId="8" xfId="1" applyNumberFormat="1" applyFont="1" applyFill="1" applyBorder="1" applyAlignment="1">
      <alignment horizontal="right"/>
    </xf>
    <xf numFmtId="7" fontId="3" fillId="36" borderId="8" xfId="1" applyNumberFormat="1" applyFont="1" applyFill="1" applyBorder="1" applyAlignment="1">
      <alignment horizontal="center" vertical="center"/>
    </xf>
    <xf numFmtId="7" fontId="3" fillId="36" borderId="8" xfId="2" applyNumberFormat="1" applyFont="1" applyFill="1" applyBorder="1" applyAlignment="1">
      <alignment horizontal="center" vertical="center"/>
    </xf>
    <xf numFmtId="7" fontId="3" fillId="36" borderId="20" xfId="0" applyNumberFormat="1" applyFont="1" applyFill="1" applyBorder="1" applyAlignment="1">
      <alignment horizontal="right"/>
    </xf>
    <xf numFmtId="164" fontId="3" fillId="22" borderId="3" xfId="1" applyFont="1" applyFill="1" applyBorder="1"/>
    <xf numFmtId="7" fontId="17" fillId="22" borderId="3" xfId="1" applyNumberFormat="1" applyFont="1" applyFill="1" applyBorder="1"/>
    <xf numFmtId="7" fontId="3" fillId="22" borderId="3" xfId="1" applyNumberFormat="1" applyFont="1" applyFill="1" applyBorder="1"/>
    <xf numFmtId="172" fontId="2" fillId="2" borderId="3" xfId="1" applyNumberFormat="1" applyFont="1" applyFill="1" applyBorder="1" applyAlignment="1">
      <alignment horizontal="center" vertical="center"/>
    </xf>
    <xf numFmtId="7" fontId="54" fillId="0" borderId="3" xfId="1" applyNumberFormat="1" applyFont="1" applyBorder="1" applyAlignment="1">
      <alignment horizontal="right" vertical="center"/>
    </xf>
    <xf numFmtId="7" fontId="1" fillId="2" borderId="3" xfId="1" applyNumberFormat="1" applyFont="1" applyFill="1" applyBorder="1" applyAlignment="1">
      <alignment horizontal="center" vertical="center"/>
    </xf>
    <xf numFmtId="0" fontId="33" fillId="11" borderId="15" xfId="3" applyFont="1" applyFill="1" applyBorder="1" applyAlignment="1">
      <alignment horizontal="left" vertical="center"/>
    </xf>
    <xf numFmtId="165" fontId="19" fillId="11" borderId="29" xfId="3" applyNumberFormat="1" applyFont="1" applyFill="1" applyBorder="1" applyAlignment="1">
      <alignment horizontal="center" vertical="center"/>
    </xf>
    <xf numFmtId="164" fontId="8" fillId="11" borderId="29" xfId="1" applyFont="1" applyFill="1" applyBorder="1" applyAlignment="1">
      <alignment horizontal="center" vertical="center"/>
    </xf>
    <xf numFmtId="165" fontId="0" fillId="0" borderId="3" xfId="0" applyNumberFormat="1" applyBorder="1" applyAlignment="1">
      <alignment horizontal="center" vertical="center"/>
    </xf>
    <xf numFmtId="165" fontId="11" fillId="4" borderId="3" xfId="0" applyNumberFormat="1" applyFont="1" applyFill="1" applyBorder="1"/>
    <xf numFmtId="10" fontId="18" fillId="11" borderId="10" xfId="2" applyNumberFormat="1" applyFont="1" applyFill="1" applyBorder="1" applyAlignment="1">
      <alignment horizontal="center" vertical="center"/>
    </xf>
    <xf numFmtId="165" fontId="19" fillId="11" borderId="72" xfId="3" applyNumberFormat="1" applyFont="1" applyFill="1" applyBorder="1" applyAlignment="1">
      <alignment horizontal="center" vertical="center"/>
    </xf>
    <xf numFmtId="165" fontId="8" fillId="11" borderId="10" xfId="3" applyNumberFormat="1" applyFont="1" applyFill="1" applyBorder="1" applyAlignment="1">
      <alignment horizontal="center" vertical="center"/>
    </xf>
    <xf numFmtId="165" fontId="8" fillId="11" borderId="78" xfId="3" applyNumberFormat="1" applyFont="1" applyFill="1" applyBorder="1" applyAlignment="1">
      <alignment horizontal="center" vertical="center"/>
    </xf>
    <xf numFmtId="7" fontId="8" fillId="11" borderId="41" xfId="3" applyNumberFormat="1" applyFont="1" applyFill="1" applyBorder="1" applyAlignment="1">
      <alignment horizontal="center" vertical="center"/>
    </xf>
    <xf numFmtId="165" fontId="3" fillId="39" borderId="0" xfId="0" applyNumberFormat="1" applyFont="1" applyFill="1"/>
    <xf numFmtId="7" fontId="11" fillId="2" borderId="3" xfId="0" applyNumberFormat="1" applyFont="1" applyFill="1" applyBorder="1"/>
    <xf numFmtId="4" fontId="5" fillId="0" borderId="3" xfId="3" applyNumberFormat="1" applyBorder="1" applyAlignment="1">
      <alignment vertical="center"/>
    </xf>
    <xf numFmtId="165" fontId="11" fillId="2" borderId="1" xfId="0" applyNumberFormat="1" applyFont="1" applyFill="1" applyBorder="1"/>
    <xf numFmtId="0" fontId="32" fillId="11" borderId="26" xfId="3" applyFont="1" applyFill="1" applyBorder="1" applyAlignment="1">
      <alignment horizontal="left" vertical="center"/>
    </xf>
    <xf numFmtId="7" fontId="0" fillId="4" borderId="1" xfId="0" applyNumberFormat="1" applyFill="1" applyBorder="1"/>
    <xf numFmtId="165" fontId="0" fillId="2" borderId="17" xfId="0" applyNumberFormat="1" applyFill="1" applyBorder="1" applyAlignment="1">
      <alignment horizontal="center" vertical="center"/>
    </xf>
    <xf numFmtId="165" fontId="11" fillId="2" borderId="0" xfId="0" applyNumberFormat="1" applyFont="1" applyFill="1"/>
    <xf numFmtId="165" fontId="5" fillId="2" borderId="3" xfId="3" applyNumberFormat="1" applyFill="1" applyBorder="1" applyAlignment="1">
      <alignment vertical="center"/>
    </xf>
    <xf numFmtId="7" fontId="3" fillId="4" borderId="3" xfId="0" applyNumberFormat="1" applyFont="1" applyFill="1" applyBorder="1"/>
    <xf numFmtId="165" fontId="3" fillId="37" borderId="3" xfId="0" applyNumberFormat="1" applyFont="1" applyFill="1" applyBorder="1" applyAlignment="1">
      <alignment horizontal="right"/>
    </xf>
    <xf numFmtId="165" fontId="23" fillId="2" borderId="3" xfId="0" applyNumberFormat="1" applyFont="1" applyFill="1" applyBorder="1"/>
    <xf numFmtId="0" fontId="5" fillId="2" borderId="1" xfId="3" applyFill="1" applyBorder="1" applyAlignment="1">
      <alignment vertical="center"/>
    </xf>
    <xf numFmtId="7" fontId="17" fillId="13" borderId="0" xfId="1" applyNumberFormat="1" applyFont="1" applyFill="1" applyBorder="1" applyAlignment="1">
      <alignment horizontal="right"/>
    </xf>
    <xf numFmtId="7" fontId="3" fillId="4" borderId="3" xfId="0" applyNumberFormat="1" applyFont="1" applyFill="1" applyBorder="1" applyAlignment="1">
      <alignment horizontal="center" vertical="center"/>
    </xf>
    <xf numFmtId="165" fontId="3" fillId="4" borderId="3" xfId="0" applyNumberFormat="1" applyFont="1" applyFill="1" applyBorder="1" applyAlignment="1">
      <alignment horizontal="center" vertical="center"/>
    </xf>
    <xf numFmtId="7" fontId="3" fillId="4" borderId="1" xfId="0" applyNumberFormat="1" applyFont="1" applyFill="1" applyBorder="1" applyAlignment="1">
      <alignment horizontal="center" vertical="center"/>
    </xf>
    <xf numFmtId="4" fontId="3" fillId="4" borderId="3" xfId="0" applyNumberFormat="1" applyFont="1" applyFill="1" applyBorder="1" applyAlignment="1">
      <alignment horizontal="center" vertical="center"/>
    </xf>
    <xf numFmtId="165" fontId="0" fillId="33" borderId="0" xfId="0" applyNumberFormat="1" applyFill="1"/>
    <xf numFmtId="173" fontId="0" fillId="0" borderId="0" xfId="0" applyNumberFormat="1" applyAlignment="1">
      <alignment horizontal="right"/>
    </xf>
    <xf numFmtId="7" fontId="0" fillId="0" borderId="0" xfId="0" applyNumberFormat="1" applyAlignment="1">
      <alignment vertical="top"/>
    </xf>
    <xf numFmtId="165" fontId="17" fillId="0" borderId="0" xfId="0" applyNumberFormat="1" applyFont="1" applyAlignment="1">
      <alignment horizontal="center"/>
    </xf>
    <xf numFmtId="179" fontId="0" fillId="0" borderId="0" xfId="0" applyNumberFormat="1" applyAlignment="1">
      <alignment horizontal="center" vertical="center"/>
    </xf>
    <xf numFmtId="165" fontId="11" fillId="33" borderId="0" xfId="0" applyNumberFormat="1" applyFont="1" applyFill="1" applyAlignment="1">
      <alignment horizontal="center"/>
    </xf>
    <xf numFmtId="165" fontId="50" fillId="0" borderId="0" xfId="0" applyNumberFormat="1" applyFont="1" applyAlignment="1">
      <alignment horizontal="right"/>
    </xf>
    <xf numFmtId="7" fontId="0" fillId="0" borderId="0" xfId="0" applyNumberFormat="1" applyAlignment="1">
      <alignment horizontal="left" vertical="top"/>
    </xf>
    <xf numFmtId="7" fontId="5" fillId="33" borderId="0" xfId="3" applyNumberFormat="1" applyFill="1" applyAlignment="1">
      <alignment horizontal="right" vertical="center"/>
    </xf>
    <xf numFmtId="165" fontId="11" fillId="33" borderId="0" xfId="0" applyNumberFormat="1" applyFont="1" applyFill="1" applyAlignment="1">
      <alignment horizontal="right"/>
    </xf>
    <xf numFmtId="7" fontId="3" fillId="0" borderId="0" xfId="1" applyNumberFormat="1" applyFont="1" applyAlignment="1">
      <alignment horizontal="center" vertical="center"/>
    </xf>
    <xf numFmtId="165" fontId="11" fillId="33" borderId="0" xfId="0" applyNumberFormat="1" applyFont="1" applyFill="1"/>
    <xf numFmtId="165" fontId="0" fillId="40" borderId="0" xfId="0" applyNumberFormat="1" applyFill="1"/>
    <xf numFmtId="183" fontId="76" fillId="2" borderId="3" xfId="33" quotePrefix="1" applyNumberFormat="1" applyFont="1" applyFill="1" applyBorder="1" applyAlignment="1" applyProtection="1">
      <alignment wrapText="1"/>
      <protection hidden="1"/>
    </xf>
    <xf numFmtId="183" fontId="76" fillId="2" borderId="0" xfId="33" quotePrefix="1" applyNumberFormat="1" applyFont="1" applyFill="1" applyAlignment="1" applyProtection="1">
      <alignment wrapText="1"/>
      <protection hidden="1"/>
    </xf>
    <xf numFmtId="0" fontId="78" fillId="0" borderId="3" xfId="33" applyFont="1" applyBorder="1" applyAlignment="1" applyProtection="1">
      <alignment horizontal="center"/>
      <protection hidden="1"/>
    </xf>
    <xf numFmtId="0" fontId="78" fillId="41" borderId="3" xfId="33" applyFont="1" applyFill="1" applyBorder="1" applyAlignment="1" applyProtection="1">
      <alignment horizontal="center"/>
      <protection hidden="1"/>
    </xf>
    <xf numFmtId="0" fontId="2" fillId="0" borderId="8" xfId="0" applyFont="1" applyBorder="1" applyAlignment="1">
      <alignment horizontal="center"/>
    </xf>
    <xf numFmtId="0" fontId="2" fillId="0" borderId="17" xfId="0" applyFont="1" applyBorder="1" applyAlignment="1">
      <alignment horizontal="center"/>
    </xf>
    <xf numFmtId="0" fontId="11" fillId="0" borderId="5" xfId="0" applyFont="1" applyBorder="1" applyAlignment="1">
      <alignment horizontal="left" vertical="top" wrapText="1"/>
    </xf>
    <xf numFmtId="0" fontId="11" fillId="0" borderId="8" xfId="0" applyFont="1" applyBorder="1" applyAlignment="1">
      <alignment horizontal="left" vertical="top" wrapText="1"/>
    </xf>
    <xf numFmtId="0" fontId="11" fillId="0" borderId="17" xfId="0" applyFont="1" applyBorder="1" applyAlignment="1">
      <alignment horizontal="left" vertical="top" wrapText="1"/>
    </xf>
    <xf numFmtId="0" fontId="0" fillId="2" borderId="5" xfId="0" applyFill="1" applyBorder="1" applyAlignment="1">
      <alignment horizontal="center" vertical="top" wrapText="1"/>
    </xf>
    <xf numFmtId="0" fontId="0" fillId="2" borderId="17" xfId="0" applyFill="1" applyBorder="1" applyAlignment="1">
      <alignment horizontal="center" vertical="top" wrapText="1"/>
    </xf>
    <xf numFmtId="0" fontId="4" fillId="18" borderId="25" xfId="0" applyFont="1" applyFill="1" applyBorder="1" applyAlignment="1">
      <alignment horizontal="center" vertical="center" wrapText="1"/>
    </xf>
    <xf numFmtId="0" fontId="4" fillId="18" borderId="16" xfId="0" applyFont="1" applyFill="1" applyBorder="1" applyAlignment="1">
      <alignment horizontal="center" vertical="center" wrapText="1"/>
    </xf>
    <xf numFmtId="0" fontId="43" fillId="20" borderId="3" xfId="0" applyFont="1" applyFill="1" applyBorder="1" applyAlignment="1">
      <alignment horizontal="center" vertical="center" wrapText="1"/>
    </xf>
    <xf numFmtId="2" fontId="11" fillId="2" borderId="8" xfId="0" applyNumberFormat="1" applyFont="1" applyFill="1" applyBorder="1" applyAlignment="1">
      <alignment horizontal="left" vertical="center" wrapText="1"/>
    </xf>
    <xf numFmtId="2" fontId="11" fillId="2" borderId="17" xfId="0" applyNumberFormat="1" applyFont="1" applyFill="1" applyBorder="1" applyAlignment="1">
      <alignment horizontal="left" vertical="center" wrapText="1"/>
    </xf>
    <xf numFmtId="2" fontId="11" fillId="2" borderId="5" xfId="0" applyNumberFormat="1" applyFont="1" applyFill="1" applyBorder="1" applyAlignment="1">
      <alignment horizontal="left" vertical="top" wrapText="1"/>
    </xf>
    <xf numFmtId="2" fontId="11" fillId="2" borderId="8" xfId="0" applyNumberFormat="1" applyFont="1" applyFill="1" applyBorder="1" applyAlignment="1">
      <alignment horizontal="left" vertical="top" wrapText="1"/>
    </xf>
    <xf numFmtId="2" fontId="11" fillId="2" borderId="17" xfId="0" applyNumberFormat="1"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0" borderId="3" xfId="0" applyFont="1" applyBorder="1" applyAlignment="1">
      <alignment horizontal="left" vertical="top" wrapText="1"/>
    </xf>
    <xf numFmtId="0" fontId="11" fillId="0" borderId="3" xfId="0" applyFont="1" applyBorder="1" applyAlignment="1">
      <alignment horizontal="left" vertical="top"/>
    </xf>
    <xf numFmtId="0" fontId="15" fillId="10" borderId="0" xfId="0" applyFont="1" applyFill="1" applyAlignment="1">
      <alignment horizontal="center" vertical="center"/>
    </xf>
    <xf numFmtId="0" fontId="9" fillId="0" borderId="0" xfId="3" applyFont="1" applyAlignment="1">
      <alignment horizontal="center"/>
    </xf>
    <xf numFmtId="0" fontId="7" fillId="3" borderId="0" xfId="3" applyFont="1" applyFill="1" applyAlignment="1">
      <alignment horizontal="center"/>
    </xf>
    <xf numFmtId="0" fontId="76" fillId="0" borderId="1" xfId="33" applyFont="1" applyBorder="1" applyAlignment="1" applyProtection="1">
      <alignment horizontal="right"/>
      <protection hidden="1"/>
    </xf>
    <xf numFmtId="0" fontId="76" fillId="0" borderId="2" xfId="33" applyFont="1" applyBorder="1" applyAlignment="1" applyProtection="1">
      <alignment horizontal="right"/>
      <protection hidden="1"/>
    </xf>
    <xf numFmtId="0" fontId="76" fillId="0" borderId="4" xfId="33" applyFont="1" applyBorder="1" applyAlignment="1" applyProtection="1">
      <alignment horizontal="right"/>
      <protection hidden="1"/>
    </xf>
    <xf numFmtId="0" fontId="75" fillId="0" borderId="1" xfId="33" applyFont="1" applyBorder="1" applyAlignment="1" applyProtection="1">
      <alignment horizontal="right"/>
      <protection hidden="1"/>
    </xf>
    <xf numFmtId="0" fontId="75" fillId="0" borderId="2" xfId="33" applyFont="1" applyBorder="1" applyAlignment="1" applyProtection="1">
      <alignment horizontal="right"/>
      <protection hidden="1"/>
    </xf>
    <xf numFmtId="0" fontId="75" fillId="0" borderId="4" xfId="33" applyFont="1" applyBorder="1" applyAlignment="1" applyProtection="1">
      <alignment horizontal="right"/>
      <protection hidden="1"/>
    </xf>
    <xf numFmtId="0" fontId="1" fillId="0" borderId="0" xfId="33" applyAlignment="1" applyProtection="1">
      <alignment horizontal="center" vertical="center" wrapText="1"/>
      <protection hidden="1"/>
    </xf>
    <xf numFmtId="165" fontId="67" fillId="33" borderId="0" xfId="33" applyNumberFormat="1" applyFont="1" applyFill="1" applyAlignment="1">
      <alignment horizontal="center"/>
    </xf>
    <xf numFmtId="0" fontId="72" fillId="25" borderId="0" xfId="33" applyFont="1" applyFill="1" applyAlignment="1">
      <alignment horizontal="center" vertical="center" wrapText="1"/>
    </xf>
    <xf numFmtId="0" fontId="72" fillId="25" borderId="10" xfId="33" applyFont="1" applyFill="1" applyBorder="1" applyAlignment="1">
      <alignment horizontal="center" vertical="center" wrapText="1"/>
    </xf>
    <xf numFmtId="183" fontId="75" fillId="0" borderId="1" xfId="33" applyNumberFormat="1" applyFont="1" applyBorder="1" applyAlignment="1" applyProtection="1">
      <alignment horizontal="right"/>
      <protection hidden="1"/>
    </xf>
    <xf numFmtId="183" fontId="75" fillId="0" borderId="4" xfId="33" applyNumberFormat="1" applyFont="1" applyBorder="1" applyAlignment="1" applyProtection="1">
      <alignment horizontal="right"/>
      <protection hidden="1"/>
    </xf>
    <xf numFmtId="0" fontId="0" fillId="0" borderId="0" xfId="0" applyAlignment="1">
      <alignment horizontal="left" vertical="top"/>
    </xf>
    <xf numFmtId="0" fontId="43" fillId="20" borderId="24" xfId="0" applyFont="1" applyFill="1" applyBorder="1" applyAlignment="1">
      <alignment horizontal="center" vertical="center" wrapText="1"/>
    </xf>
    <xf numFmtId="0" fontId="43" fillId="20" borderId="25" xfId="0" applyFont="1" applyFill="1" applyBorder="1" applyAlignment="1">
      <alignment horizontal="center" vertical="center" wrapText="1"/>
    </xf>
    <xf numFmtId="0" fontId="43" fillId="20" borderId="42" xfId="0" applyFont="1" applyFill="1" applyBorder="1" applyAlignment="1">
      <alignment horizontal="center" vertical="center" wrapText="1"/>
    </xf>
    <xf numFmtId="0" fontId="43" fillId="20" borderId="26" xfId="0" applyFont="1" applyFill="1" applyBorder="1" applyAlignment="1">
      <alignment horizontal="center" vertical="center" wrapText="1"/>
    </xf>
    <xf numFmtId="0" fontId="43" fillId="20" borderId="10" xfId="0" applyFont="1" applyFill="1" applyBorder="1" applyAlignment="1">
      <alignment horizontal="center" vertical="center" wrapText="1"/>
    </xf>
    <xf numFmtId="0" fontId="43" fillId="20" borderId="41" xfId="0" applyFont="1" applyFill="1" applyBorder="1" applyAlignment="1">
      <alignment horizontal="center" vertical="center" wrapText="1"/>
    </xf>
    <xf numFmtId="0" fontId="11" fillId="2" borderId="40" xfId="0" applyFont="1" applyFill="1" applyBorder="1" applyAlignment="1">
      <alignment horizontal="left" vertical="center" wrapText="1"/>
    </xf>
    <xf numFmtId="0" fontId="11" fillId="2" borderId="59" xfId="0" applyFont="1" applyFill="1" applyBorder="1" applyAlignment="1">
      <alignment horizontal="left" vertical="center" wrapText="1"/>
    </xf>
    <xf numFmtId="0" fontId="0" fillId="0" borderId="0" xfId="0" applyAlignment="1">
      <alignment horizontal="center" wrapText="1"/>
    </xf>
    <xf numFmtId="22" fontId="0" fillId="0" borderId="0" xfId="0" applyNumberFormat="1" applyAlignment="1">
      <alignment horizontal="center"/>
    </xf>
    <xf numFmtId="0" fontId="0" fillId="0" borderId="0" xfId="0" applyAlignment="1">
      <alignment horizontal="left"/>
    </xf>
  </cellXfs>
  <cellStyles count="36">
    <cellStyle name="Coma" xfId="1" builtinId="3"/>
    <cellStyle name="Coma 2" xfId="5" xr:uid="{00000000-0005-0000-0000-000001000000}"/>
    <cellStyle name="Coma 2 2" xfId="31" xr:uid="{00000000-0005-0000-0000-000002000000}"/>
    <cellStyle name="Coma 3" xfId="6" xr:uid="{00000000-0005-0000-0000-000003000000}"/>
    <cellStyle name="Coma 4" xfId="28" xr:uid="{00000000-0005-0000-0000-000004000000}"/>
    <cellStyle name="Èmfasi2" xfId="25" builtinId="33"/>
    <cellStyle name="Enllaç" xfId="23" builtinId="8"/>
    <cellStyle name="Hipervínculo 2" xfId="22" xr:uid="{00000000-0005-0000-0000-000007000000}"/>
    <cellStyle name="Millares 2" xfId="7" xr:uid="{00000000-0005-0000-0000-000008000000}"/>
    <cellStyle name="Millares 2 2" xfId="8" xr:uid="{00000000-0005-0000-0000-000009000000}"/>
    <cellStyle name="Moneda" xfId="24" builtinId="4"/>
    <cellStyle name="Moneda 2" xfId="9" xr:uid="{00000000-0005-0000-0000-00000B000000}"/>
    <cellStyle name="Moneda 2 2" xfId="10" xr:uid="{00000000-0005-0000-0000-00000C000000}"/>
    <cellStyle name="Moneda 3" xfId="29" xr:uid="{00000000-0005-0000-0000-00000D000000}"/>
    <cellStyle name="Normal" xfId="0" builtinId="0"/>
    <cellStyle name="Normal 10" xfId="32" xr:uid="{00000000-0005-0000-0000-00000F000000}"/>
    <cellStyle name="Normal 10 2" xfId="35" xr:uid="{9347E9F9-E5DA-42F1-98A9-73DBF6387B07}"/>
    <cellStyle name="Normal 2" xfId="4" xr:uid="{00000000-0005-0000-0000-000010000000}"/>
    <cellStyle name="Normal 2 2" xfId="3" xr:uid="{00000000-0005-0000-0000-000011000000}"/>
    <cellStyle name="Normal 2 3" xfId="11" xr:uid="{00000000-0005-0000-0000-000012000000}"/>
    <cellStyle name="Normal 3" xfId="12" xr:uid="{00000000-0005-0000-0000-000013000000}"/>
    <cellStyle name="Normal 3 2" xfId="13" xr:uid="{00000000-0005-0000-0000-000014000000}"/>
    <cellStyle name="Normal 4" xfId="14" xr:uid="{00000000-0005-0000-0000-000015000000}"/>
    <cellStyle name="Normal 5" xfId="15" xr:uid="{00000000-0005-0000-0000-000016000000}"/>
    <cellStyle name="Normal 6" xfId="16" xr:uid="{00000000-0005-0000-0000-000017000000}"/>
    <cellStyle name="Normal 7" xfId="17" xr:uid="{00000000-0005-0000-0000-000018000000}"/>
    <cellStyle name="Normal 8" xfId="26" xr:uid="{00000000-0005-0000-0000-000019000000}"/>
    <cellStyle name="Normal 8 2" xfId="33" xr:uid="{00000000-0005-0000-0000-00001A000000}"/>
    <cellStyle name="Normal 9" xfId="27" xr:uid="{00000000-0005-0000-0000-00001B000000}"/>
    <cellStyle name="Normal 9 2" xfId="34" xr:uid="{40E8E345-7C95-4F58-A0A8-0D77BED8D8F5}"/>
    <cellStyle name="Percentatge" xfId="2" builtinId="5"/>
    <cellStyle name="Percentatge 2" xfId="18" xr:uid="{00000000-0005-0000-0000-00001D000000}"/>
    <cellStyle name="Percentatge 3" xfId="19" xr:uid="{00000000-0005-0000-0000-00001E000000}"/>
    <cellStyle name="Percentatge 4" xfId="30" xr:uid="{00000000-0005-0000-0000-00001F000000}"/>
    <cellStyle name="Porcentaje 2" xfId="20" xr:uid="{00000000-0005-0000-0000-000020000000}"/>
    <cellStyle name="Porcentaje 3" xfId="21" xr:uid="{00000000-0005-0000-0000-000021000000}"/>
  </cellStyles>
  <dxfs count="0"/>
  <tableStyles count="0" defaultTableStyle="TableStyleMedium2" defaultPivotStyle="PivotStyleLight16"/>
  <colors>
    <mruColors>
      <color rgb="FFFFFF9F"/>
      <color rgb="FFFFFFD1"/>
      <color rgb="FFF0FAA8"/>
      <color rgb="FFC3F1FD"/>
      <color rgb="FFEBF3A3"/>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17</xdr:row>
      <xdr:rowOff>0</xdr:rowOff>
    </xdr:from>
    <xdr:to>
      <xdr:col>11</xdr:col>
      <xdr:colOff>523277</xdr:colOff>
      <xdr:row>27</xdr:row>
      <xdr:rowOff>104560</xdr:rowOff>
    </xdr:to>
    <xdr:pic>
      <xdr:nvPicPr>
        <xdr:cNvPr id="2" name="Imatge 1">
          <a:extLst>
            <a:ext uri="{FF2B5EF4-FFF2-40B4-BE49-F238E27FC236}">
              <a16:creationId xmlns:a16="http://schemas.microsoft.com/office/drawing/2014/main" id="{A5594DC8-B3F2-48E8-A3B2-B285F20C5882}"/>
            </a:ext>
          </a:extLst>
        </xdr:cNvPr>
        <xdr:cNvPicPr>
          <a:picLocks noChangeAspect="1"/>
        </xdr:cNvPicPr>
      </xdr:nvPicPr>
      <xdr:blipFill>
        <a:blip xmlns:r="http://schemas.openxmlformats.org/officeDocument/2006/relationships" r:embed="rId1"/>
        <a:stretch>
          <a:fillRect/>
        </a:stretch>
      </xdr:blipFill>
      <xdr:spPr>
        <a:xfrm>
          <a:off x="4467225" y="2752725"/>
          <a:ext cx="4780952" cy="1723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684846</xdr:colOff>
      <xdr:row>26</xdr:row>
      <xdr:rowOff>47093</xdr:rowOff>
    </xdr:to>
    <xdr:pic>
      <xdr:nvPicPr>
        <xdr:cNvPr id="2" name="Imatge 1">
          <a:extLst>
            <a:ext uri="{FF2B5EF4-FFF2-40B4-BE49-F238E27FC236}">
              <a16:creationId xmlns:a16="http://schemas.microsoft.com/office/drawing/2014/main" id="{80154D35-23C4-42AB-87F4-636F65607FCF}"/>
            </a:ext>
          </a:extLst>
        </xdr:cNvPr>
        <xdr:cNvPicPr>
          <a:picLocks noChangeAspect="1"/>
        </xdr:cNvPicPr>
      </xdr:nvPicPr>
      <xdr:blipFill>
        <a:blip xmlns:r="http://schemas.openxmlformats.org/officeDocument/2006/relationships" r:embed="rId1"/>
        <a:stretch>
          <a:fillRect/>
        </a:stretch>
      </xdr:blipFill>
      <xdr:spPr>
        <a:xfrm>
          <a:off x="0" y="0"/>
          <a:ext cx="7628571" cy="4257143"/>
        </a:xfrm>
        <a:prstGeom prst="rect">
          <a:avLst/>
        </a:prstGeom>
      </xdr:spPr>
    </xdr:pic>
    <xdr:clientData/>
  </xdr:twoCellAnchor>
  <xdr:twoCellAnchor editAs="oneCell">
    <xdr:from>
      <xdr:col>1</xdr:col>
      <xdr:colOff>685800</xdr:colOff>
      <xdr:row>24</xdr:row>
      <xdr:rowOff>38100</xdr:rowOff>
    </xdr:from>
    <xdr:to>
      <xdr:col>8</xdr:col>
      <xdr:colOff>770839</xdr:colOff>
      <xdr:row>32</xdr:row>
      <xdr:rowOff>114129</xdr:rowOff>
    </xdr:to>
    <xdr:pic>
      <xdr:nvPicPr>
        <xdr:cNvPr id="3" name="Imatge 2">
          <a:extLst>
            <a:ext uri="{FF2B5EF4-FFF2-40B4-BE49-F238E27FC236}">
              <a16:creationId xmlns:a16="http://schemas.microsoft.com/office/drawing/2014/main" id="{F2864568-B769-40E7-BFCD-BAA05042024D}"/>
            </a:ext>
          </a:extLst>
        </xdr:cNvPr>
        <xdr:cNvPicPr>
          <a:picLocks noChangeAspect="1"/>
        </xdr:cNvPicPr>
      </xdr:nvPicPr>
      <xdr:blipFill>
        <a:blip xmlns:r="http://schemas.openxmlformats.org/officeDocument/2006/relationships" r:embed="rId2"/>
        <a:stretch>
          <a:fillRect/>
        </a:stretch>
      </xdr:blipFill>
      <xdr:spPr>
        <a:xfrm>
          <a:off x="1457325" y="3924300"/>
          <a:ext cx="5485714" cy="1371429"/>
        </a:xfrm>
        <a:prstGeom prst="rect">
          <a:avLst/>
        </a:prstGeom>
      </xdr:spPr>
    </xdr:pic>
    <xdr:clientData/>
  </xdr:twoCellAnchor>
  <xdr:twoCellAnchor editAs="oneCell">
    <xdr:from>
      <xdr:col>9</xdr:col>
      <xdr:colOff>238125</xdr:colOff>
      <xdr:row>1</xdr:row>
      <xdr:rowOff>104775</xdr:rowOff>
    </xdr:from>
    <xdr:to>
      <xdr:col>20</xdr:col>
      <xdr:colOff>160859</xdr:colOff>
      <xdr:row>51</xdr:row>
      <xdr:rowOff>141858</xdr:rowOff>
    </xdr:to>
    <xdr:pic>
      <xdr:nvPicPr>
        <xdr:cNvPr id="4" name="Imatge 3">
          <a:extLst>
            <a:ext uri="{FF2B5EF4-FFF2-40B4-BE49-F238E27FC236}">
              <a16:creationId xmlns:a16="http://schemas.microsoft.com/office/drawing/2014/main" id="{E6EC0620-0B6D-421B-BE4F-1ECF98B8B5D8}"/>
            </a:ext>
          </a:extLst>
        </xdr:cNvPr>
        <xdr:cNvPicPr>
          <a:picLocks noChangeAspect="1"/>
        </xdr:cNvPicPr>
      </xdr:nvPicPr>
      <xdr:blipFill>
        <a:blip xmlns:r="http://schemas.openxmlformats.org/officeDocument/2006/relationships" r:embed="rId3"/>
        <a:stretch>
          <a:fillRect/>
        </a:stretch>
      </xdr:blipFill>
      <xdr:spPr>
        <a:xfrm>
          <a:off x="7181850" y="266700"/>
          <a:ext cx="8523809" cy="8133333"/>
        </a:xfrm>
        <a:prstGeom prst="rect">
          <a:avLst/>
        </a:prstGeom>
      </xdr:spPr>
    </xdr:pic>
    <xdr:clientData/>
  </xdr:twoCellAnchor>
  <xdr:twoCellAnchor editAs="oneCell">
    <xdr:from>
      <xdr:col>0</xdr:col>
      <xdr:colOff>0</xdr:colOff>
      <xdr:row>36</xdr:row>
      <xdr:rowOff>123826</xdr:rowOff>
    </xdr:from>
    <xdr:to>
      <xdr:col>8</xdr:col>
      <xdr:colOff>741848</xdr:colOff>
      <xdr:row>65</xdr:row>
      <xdr:rowOff>95251</xdr:rowOff>
    </xdr:to>
    <xdr:pic>
      <xdr:nvPicPr>
        <xdr:cNvPr id="5" name="Imatge 4">
          <a:extLst>
            <a:ext uri="{FF2B5EF4-FFF2-40B4-BE49-F238E27FC236}">
              <a16:creationId xmlns:a16="http://schemas.microsoft.com/office/drawing/2014/main" id="{89C59888-0DF4-461B-80FA-392DADC5818C}"/>
            </a:ext>
          </a:extLst>
        </xdr:cNvPr>
        <xdr:cNvPicPr>
          <a:picLocks noChangeAspect="1"/>
        </xdr:cNvPicPr>
      </xdr:nvPicPr>
      <xdr:blipFill>
        <a:blip xmlns:r="http://schemas.openxmlformats.org/officeDocument/2006/relationships" r:embed="rId4"/>
        <a:stretch>
          <a:fillRect/>
        </a:stretch>
      </xdr:blipFill>
      <xdr:spPr>
        <a:xfrm>
          <a:off x="0" y="5953126"/>
          <a:ext cx="6914048" cy="4762500"/>
        </a:xfrm>
        <a:prstGeom prst="rect">
          <a:avLst/>
        </a:prstGeom>
      </xdr:spPr>
    </xdr:pic>
    <xdr:clientData/>
  </xdr:twoCellAnchor>
  <xdr:twoCellAnchor editAs="oneCell">
    <xdr:from>
      <xdr:col>0</xdr:col>
      <xdr:colOff>0</xdr:colOff>
      <xdr:row>66</xdr:row>
      <xdr:rowOff>76200</xdr:rowOff>
    </xdr:from>
    <xdr:to>
      <xdr:col>8</xdr:col>
      <xdr:colOff>484943</xdr:colOff>
      <xdr:row>93</xdr:row>
      <xdr:rowOff>66130</xdr:rowOff>
    </xdr:to>
    <xdr:pic>
      <xdr:nvPicPr>
        <xdr:cNvPr id="6" name="Imatge 5">
          <a:extLst>
            <a:ext uri="{FF2B5EF4-FFF2-40B4-BE49-F238E27FC236}">
              <a16:creationId xmlns:a16="http://schemas.microsoft.com/office/drawing/2014/main" id="{C5162E5A-975E-4F15-8672-E19498BBB488}"/>
            </a:ext>
          </a:extLst>
        </xdr:cNvPr>
        <xdr:cNvPicPr>
          <a:picLocks noChangeAspect="1"/>
        </xdr:cNvPicPr>
      </xdr:nvPicPr>
      <xdr:blipFill>
        <a:blip xmlns:r="http://schemas.openxmlformats.org/officeDocument/2006/relationships" r:embed="rId5"/>
        <a:stretch>
          <a:fillRect/>
        </a:stretch>
      </xdr:blipFill>
      <xdr:spPr>
        <a:xfrm>
          <a:off x="0" y="10763250"/>
          <a:ext cx="6657143" cy="4361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0</xdr:colOff>
      <xdr:row>15</xdr:row>
      <xdr:rowOff>0</xdr:rowOff>
    </xdr:from>
    <xdr:to>
      <xdr:col>29</xdr:col>
      <xdr:colOff>578439</xdr:colOff>
      <xdr:row>25</xdr:row>
      <xdr:rowOff>127972</xdr:rowOff>
    </xdr:to>
    <xdr:pic>
      <xdr:nvPicPr>
        <xdr:cNvPr id="4" name="Imat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0568609" y="4246217"/>
          <a:ext cx="6083613" cy="28004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606506</xdr:colOff>
      <xdr:row>22</xdr:row>
      <xdr:rowOff>12699</xdr:rowOff>
    </xdr:to>
    <xdr:pic>
      <xdr:nvPicPr>
        <xdr:cNvPr id="2" name="3 Image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7121606" cy="4667249"/>
        </a:xfrm>
        <a:prstGeom prst="rect">
          <a:avLst/>
        </a:prstGeom>
      </xdr:spPr>
    </xdr:pic>
    <xdr:clientData/>
  </xdr:twoCellAnchor>
  <xdr:twoCellAnchor editAs="oneCell">
    <xdr:from>
      <xdr:col>12</xdr:col>
      <xdr:colOff>666750</xdr:colOff>
      <xdr:row>26</xdr:row>
      <xdr:rowOff>133350</xdr:rowOff>
    </xdr:from>
    <xdr:to>
      <xdr:col>23</xdr:col>
      <xdr:colOff>6761</xdr:colOff>
      <xdr:row>35</xdr:row>
      <xdr:rowOff>847923</xdr:rowOff>
    </xdr:to>
    <xdr:pic>
      <xdr:nvPicPr>
        <xdr:cNvPr id="3" name="1 Imagen">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10179050" y="5524500"/>
          <a:ext cx="7988711" cy="38578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79</xdr:row>
      <xdr:rowOff>0</xdr:rowOff>
    </xdr:from>
    <xdr:to>
      <xdr:col>8</xdr:col>
      <xdr:colOff>82975</xdr:colOff>
      <xdr:row>102</xdr:row>
      <xdr:rowOff>139925</xdr:rowOff>
    </xdr:to>
    <xdr:pic>
      <xdr:nvPicPr>
        <xdr:cNvPr id="2" name="Imatg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14522450"/>
          <a:ext cx="8268125" cy="4375375"/>
        </a:xfrm>
        <a:prstGeom prst="rect">
          <a:avLst/>
        </a:prstGeom>
      </xdr:spPr>
    </xdr:pic>
    <xdr:clientData/>
  </xdr:twoCellAnchor>
  <xdr:twoCellAnchor editAs="oneCell">
    <xdr:from>
      <xdr:col>10</xdr:col>
      <xdr:colOff>0</xdr:colOff>
      <xdr:row>80</xdr:row>
      <xdr:rowOff>0</xdr:rowOff>
    </xdr:from>
    <xdr:to>
      <xdr:col>18</xdr:col>
      <xdr:colOff>482875</xdr:colOff>
      <xdr:row>96</xdr:row>
      <xdr:rowOff>177961</xdr:rowOff>
    </xdr:to>
    <xdr:pic>
      <xdr:nvPicPr>
        <xdr:cNvPr id="3" name="Imatg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a:stretch>
          <a:fillRect/>
        </a:stretch>
      </xdr:blipFill>
      <xdr:spPr>
        <a:xfrm>
          <a:off x="9404350" y="14522450"/>
          <a:ext cx="5359675" cy="3124361"/>
        </a:xfrm>
        <a:prstGeom prst="rect">
          <a:avLst/>
        </a:prstGeom>
      </xdr:spPr>
    </xdr:pic>
    <xdr:clientData/>
  </xdr:twoCellAnchor>
  <xdr:twoCellAnchor editAs="oneCell">
    <xdr:from>
      <xdr:col>4</xdr:col>
      <xdr:colOff>139700</xdr:colOff>
      <xdr:row>108</xdr:row>
      <xdr:rowOff>114300</xdr:rowOff>
    </xdr:from>
    <xdr:to>
      <xdr:col>8</xdr:col>
      <xdr:colOff>177927</xdr:colOff>
      <xdr:row>122</xdr:row>
      <xdr:rowOff>177936</xdr:rowOff>
    </xdr:to>
    <xdr:pic>
      <xdr:nvPicPr>
        <xdr:cNvPr id="5" name="Imatg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3"/>
        <a:stretch>
          <a:fillRect/>
        </a:stretch>
      </xdr:blipFill>
      <xdr:spPr>
        <a:xfrm>
          <a:off x="5886450" y="19792950"/>
          <a:ext cx="2476627" cy="2641736"/>
        </a:xfrm>
        <a:prstGeom prst="rect">
          <a:avLst/>
        </a:prstGeom>
      </xdr:spPr>
    </xdr:pic>
    <xdr:clientData/>
  </xdr:twoCellAnchor>
  <xdr:twoCellAnchor editAs="oneCell">
    <xdr:from>
      <xdr:col>9</xdr:col>
      <xdr:colOff>565150</xdr:colOff>
      <xdr:row>106</xdr:row>
      <xdr:rowOff>165100</xdr:rowOff>
    </xdr:from>
    <xdr:to>
      <xdr:col>14</xdr:col>
      <xdr:colOff>127134</xdr:colOff>
      <xdr:row>123</xdr:row>
      <xdr:rowOff>25554</xdr:rowOff>
    </xdr:to>
    <xdr:pic>
      <xdr:nvPicPr>
        <xdr:cNvPr id="6" name="Imatg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4"/>
        <a:stretch>
          <a:fillRect/>
        </a:stretch>
      </xdr:blipFill>
      <xdr:spPr>
        <a:xfrm>
          <a:off x="9359900" y="19475450"/>
          <a:ext cx="2609984" cy="2991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TAULA%20COSTOS%20PER%20SICER.xlsx" TargetMode="External"/><Relationship Id="rId1" Type="http://schemas.openxmlformats.org/officeDocument/2006/relationships/externalLinkPath" Target="file:///D:\TAULA%20COSTOS%20PER%20SIC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STIMACIÓ PLUSES"/>
      <sheetName val="SALARIS CONVENI 2026"/>
      <sheetName val="1 RESUM"/>
      <sheetName val="VEC DEL CONTRACTE"/>
      <sheetName val="PBL DEL CONTRACTE"/>
      <sheetName val="CALCUL ANUAL SASSEP"/>
      <sheetName val="ANNEX4 LOT 1 SASSEP"/>
      <sheetName val="3 RESUM PBL  i VEC "/>
      <sheetName val="CD+CI"/>
      <sheetName val="Licitació I COST SASSEP "/>
      <sheetName val="ANNEX 4 LOT 2 SDI"/>
      <sheetName val="Licitació I COST  SDI"/>
      <sheetName val="RESUM PBL  i VEC  SDI"/>
      <sheetName val="CD+CI SDI"/>
      <sheetName val="CÀLCUL ANUAL SDI"/>
      <sheetName val="Full6"/>
      <sheetName val="SALARIS CONVENI 2024"/>
      <sheetName val="TAULA MARE (proba) (2)"/>
      <sheetName val="COMPARATIU DEFINITIU"/>
      <sheetName val="COMPARATIU (2)"/>
      <sheetName val="TAULA MARE DEF"/>
      <sheetName val="Explic vigilancia"/>
      <sheetName val="COMPARATIU"/>
      <sheetName val="TAULA MARE"/>
      <sheetName val="PERIODIFICACIÓN"/>
      <sheetName val="VEC"/>
      <sheetName val="ANNEX 4"/>
      <sheetName val="Full9"/>
      <sheetName val="Full1"/>
      <sheetName val="PROTECCIÓ"/>
      <sheetName val="VEHICLES"/>
      <sheetName val="Full4"/>
      <sheetName val="Full3"/>
      <sheetName val="Full5"/>
      <sheetName val="TAULA MARE DEF (prova)"/>
    </sheetNames>
    <sheetDataSet>
      <sheetData sheetId="0"/>
      <sheetData sheetId="1"/>
      <sheetData sheetId="2"/>
      <sheetData sheetId="3"/>
      <sheetData sheetId="4"/>
      <sheetData sheetId="5">
        <row r="12">
          <cell r="B12">
            <v>0.32300000000000001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5.bin"/><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8.bin"/><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9.bin"/><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11.bin"/><Relationship Id="rId2" Type="http://schemas.openxmlformats.org/officeDocument/2006/relationships/customProperty" Target="../customProperty10.bin"/><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12.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7.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8.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customProperty" Target="../customProperty17.bin"/></Relationships>
</file>

<file path=xl/worksheets/_rels/sheet21.xml.rels><?xml version="1.0" encoding="UTF-8" standalone="yes"?>
<Relationships xmlns="http://schemas.openxmlformats.org/package/2006/relationships"><Relationship Id="rId1" Type="http://schemas.openxmlformats.org/officeDocument/2006/relationships/customProperty" Target="../customProperty18.bin"/></Relationships>
</file>

<file path=xl/worksheets/_rels/sheet22.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printerSettings" Target="../printerSettings/printerSettings15.bin"/><Relationship Id="rId1" Type="http://schemas.openxmlformats.org/officeDocument/2006/relationships/hyperlink" Target="https://autolavadoentenza.com/producto/desinfeccion-y-eliminacion-de-olores/" TargetMode="External"/><Relationship Id="rId4" Type="http://schemas.openxmlformats.org/officeDocument/2006/relationships/drawing" Target="../drawings/drawing5.xml"/></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customProperty" Target="../customProperty21.bin"/></Relationships>
</file>

<file path=xl/worksheets/_rels/sheet25.xml.rels><?xml version="1.0" encoding="UTF-8" standalone="yes"?>
<Relationships xmlns="http://schemas.openxmlformats.org/package/2006/relationships"><Relationship Id="rId1" Type="http://schemas.openxmlformats.org/officeDocument/2006/relationships/customProperty" Target="../customProperty22.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23.bin"/><Relationship Id="rId1" Type="http://schemas.openxmlformats.org/officeDocument/2006/relationships/printerSettings" Target="../printerSettings/printerSettings17.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2813B-75BF-4146-9D2C-D43B8AE7A16B}">
  <dimension ref="A2:P32"/>
  <sheetViews>
    <sheetView workbookViewId="0">
      <selection activeCell="E4" sqref="E4"/>
    </sheetView>
  </sheetViews>
  <sheetFormatPr defaultColWidth="9.140625" defaultRowHeight="12.75" x14ac:dyDescent="0.2"/>
  <cols>
    <col min="1" max="1" width="19.5703125" style="953" customWidth="1"/>
    <col min="2" max="2" width="9.140625" style="953"/>
    <col min="3" max="4" width="18.5703125" style="953" customWidth="1"/>
    <col min="5" max="5" width="10.5703125" style="953" customWidth="1"/>
    <col min="6" max="8" width="9.140625" style="953"/>
    <col min="9" max="9" width="13.28515625" style="953" customWidth="1"/>
    <col min="10" max="10" width="15.7109375" style="953" customWidth="1"/>
    <col min="11" max="11" width="16.5703125" style="953" customWidth="1"/>
    <col min="12" max="12" width="10.85546875" style="953" bestFit="1" customWidth="1"/>
    <col min="13" max="13" width="18.7109375" style="953" customWidth="1"/>
    <col min="14" max="16" width="11.85546875" style="953" bestFit="1" customWidth="1"/>
    <col min="17" max="16384" width="9.140625" style="953"/>
  </cols>
  <sheetData>
    <row r="2" spans="1:16" x14ac:dyDescent="0.2">
      <c r="A2" s="1171" t="s">
        <v>590</v>
      </c>
      <c r="B2" s="1171" t="s">
        <v>591</v>
      </c>
      <c r="C2" s="1171" t="s">
        <v>592</v>
      </c>
      <c r="D2" s="1171" t="s">
        <v>567</v>
      </c>
      <c r="E2" s="1171" t="s">
        <v>593</v>
      </c>
      <c r="F2" s="1171" t="s">
        <v>594</v>
      </c>
      <c r="G2" s="1171" t="s">
        <v>595</v>
      </c>
      <c r="H2" s="1171" t="s">
        <v>596</v>
      </c>
      <c r="I2" s="1171" t="s">
        <v>597</v>
      </c>
      <c r="J2" s="1171" t="s">
        <v>598</v>
      </c>
      <c r="K2" s="1171" t="s">
        <v>599</v>
      </c>
      <c r="L2" s="1171" t="s">
        <v>600</v>
      </c>
      <c r="M2" s="1171" t="s">
        <v>601</v>
      </c>
      <c r="N2" s="1171" t="s">
        <v>602</v>
      </c>
      <c r="O2" s="1171" t="s">
        <v>603</v>
      </c>
      <c r="P2" s="1171" t="s">
        <v>604</v>
      </c>
    </row>
    <row r="3" spans="1:16" ht="15" x14ac:dyDescent="0.25">
      <c r="A3" s="953" t="s">
        <v>265</v>
      </c>
      <c r="B3" s="953" t="s">
        <v>605</v>
      </c>
      <c r="C3" s="1047">
        <v>38432.1</v>
      </c>
      <c r="D3" s="1047">
        <f>C3/1701</f>
        <v>22.593827160493827</v>
      </c>
      <c r="E3" s="953">
        <v>0.5</v>
      </c>
      <c r="F3" s="953">
        <v>0.5</v>
      </c>
      <c r="G3" s="1049">
        <v>0.05</v>
      </c>
      <c r="I3" s="1047"/>
      <c r="J3" s="1047"/>
      <c r="K3" s="1047"/>
      <c r="L3" s="1047"/>
      <c r="M3" s="1047"/>
      <c r="N3" s="1047"/>
      <c r="O3" s="1047"/>
      <c r="P3" s="1048"/>
    </row>
    <row r="4" spans="1:16" ht="15" x14ac:dyDescent="0.25">
      <c r="A4" s="953" t="s">
        <v>606</v>
      </c>
      <c r="B4" s="953" t="s">
        <v>607</v>
      </c>
      <c r="C4" s="1047">
        <v>26007.66</v>
      </c>
      <c r="D4" s="1047">
        <f t="shared" ref="D4:D11" si="0">C4/1701</f>
        <v>15.28962962962963</v>
      </c>
      <c r="I4" s="1047"/>
      <c r="J4" s="1047"/>
      <c r="K4" s="1047"/>
      <c r="L4" s="1047"/>
      <c r="M4" s="1047"/>
      <c r="N4" s="1047"/>
      <c r="O4" s="1047"/>
    </row>
    <row r="5" spans="1:16" ht="15" x14ac:dyDescent="0.25">
      <c r="A5" s="953" t="s">
        <v>608</v>
      </c>
      <c r="B5" s="953" t="s">
        <v>605</v>
      </c>
      <c r="C5" s="1047">
        <v>33951.26</v>
      </c>
      <c r="D5" s="1047">
        <f t="shared" si="0"/>
        <v>19.959588477366257</v>
      </c>
      <c r="I5" s="1047"/>
      <c r="J5" s="1047"/>
      <c r="K5" s="1047"/>
      <c r="L5" s="1047"/>
      <c r="M5" s="1047"/>
      <c r="N5" s="1047"/>
      <c r="O5" s="1047"/>
    </row>
    <row r="6" spans="1:16" ht="15" x14ac:dyDescent="0.25">
      <c r="A6" s="953" t="s">
        <v>609</v>
      </c>
      <c r="B6" s="953" t="s">
        <v>605</v>
      </c>
      <c r="C6" s="1047">
        <v>33951.26</v>
      </c>
      <c r="D6" s="1047">
        <f t="shared" si="0"/>
        <v>19.959588477366257</v>
      </c>
      <c r="I6" s="1047"/>
      <c r="J6" s="1047"/>
      <c r="K6" s="1047"/>
      <c r="L6" s="1047"/>
      <c r="M6" s="1047"/>
      <c r="N6" s="1047"/>
      <c r="O6" s="1047"/>
    </row>
    <row r="7" spans="1:16" ht="15" x14ac:dyDescent="0.25">
      <c r="A7" s="953" t="s">
        <v>610</v>
      </c>
      <c r="B7" s="953" t="s">
        <v>605</v>
      </c>
      <c r="C7" s="1047">
        <v>33951.26</v>
      </c>
      <c r="D7" s="1047">
        <f t="shared" si="0"/>
        <v>19.959588477366257</v>
      </c>
      <c r="I7" s="1047"/>
      <c r="J7" s="1047"/>
      <c r="K7" s="1047"/>
      <c r="L7" s="1047"/>
      <c r="M7" s="1047"/>
      <c r="N7" s="1047"/>
      <c r="O7" s="1047"/>
    </row>
    <row r="8" spans="1:16" ht="15" x14ac:dyDescent="0.25">
      <c r="A8" s="953" t="s">
        <v>611</v>
      </c>
      <c r="B8" s="953" t="s">
        <v>612</v>
      </c>
      <c r="C8" s="1047">
        <v>23100.28</v>
      </c>
      <c r="D8" s="1047">
        <f t="shared" si="0"/>
        <v>13.580411522633744</v>
      </c>
      <c r="I8" s="1047"/>
      <c r="J8" s="1047"/>
      <c r="K8" s="1047"/>
      <c r="L8" s="1047"/>
      <c r="M8" s="1047"/>
      <c r="N8" s="1047"/>
      <c r="O8" s="1047"/>
    </row>
    <row r="9" spans="1:16" ht="15" x14ac:dyDescent="0.25">
      <c r="A9" s="953" t="s">
        <v>613</v>
      </c>
      <c r="B9" s="953" t="s">
        <v>612</v>
      </c>
      <c r="C9" s="1047">
        <v>23100.28</v>
      </c>
      <c r="D9" s="1047">
        <f t="shared" si="0"/>
        <v>13.580411522633744</v>
      </c>
      <c r="I9" s="1047"/>
      <c r="J9" s="1047"/>
      <c r="K9" s="1047"/>
      <c r="L9" s="1047"/>
      <c r="M9" s="1047"/>
      <c r="N9" s="1047"/>
      <c r="O9" s="1047"/>
    </row>
    <row r="10" spans="1:16" ht="15" x14ac:dyDescent="0.25">
      <c r="A10" s="953" t="s">
        <v>614</v>
      </c>
      <c r="B10" s="953" t="s">
        <v>612</v>
      </c>
      <c r="C10" s="1047">
        <v>23100.28</v>
      </c>
      <c r="D10" s="1047">
        <f t="shared" si="0"/>
        <v>13.580411522633744</v>
      </c>
      <c r="I10" s="1047"/>
      <c r="J10" s="1047"/>
      <c r="K10" s="1047"/>
      <c r="L10" s="1047"/>
      <c r="M10" s="1047"/>
      <c r="N10" s="1047"/>
      <c r="O10" s="1047"/>
    </row>
    <row r="11" spans="1:16" ht="15" x14ac:dyDescent="0.25">
      <c r="A11" s="953" t="s">
        <v>615</v>
      </c>
      <c r="B11" s="953" t="s">
        <v>612</v>
      </c>
      <c r="C11" s="1047">
        <v>23100.28</v>
      </c>
      <c r="D11" s="1047">
        <f t="shared" si="0"/>
        <v>13.580411522633744</v>
      </c>
      <c r="I11" s="1047"/>
      <c r="J11" s="1047"/>
      <c r="K11" s="1047"/>
      <c r="L11" s="1047"/>
      <c r="M11" s="1047"/>
      <c r="N11" s="1047"/>
      <c r="O11" s="1047"/>
    </row>
    <row r="12" spans="1:16" ht="15" x14ac:dyDescent="0.25">
      <c r="I12" s="1047"/>
      <c r="J12" s="1047"/>
      <c r="K12" s="1047"/>
      <c r="L12" s="1047"/>
      <c r="M12" s="1047"/>
      <c r="N12" s="1047"/>
      <c r="O12" s="1047"/>
    </row>
    <row r="15" spans="1:16" x14ac:dyDescent="0.2">
      <c r="A15" s="954" t="s">
        <v>616</v>
      </c>
      <c r="B15" s="1048">
        <f>(I4+J8+K8+L8+M8)/1701</f>
        <v>0</v>
      </c>
    </row>
    <row r="16" spans="1:16" x14ac:dyDescent="0.2">
      <c r="B16" s="1048">
        <f>B15*3.5%</f>
        <v>0</v>
      </c>
    </row>
    <row r="17" spans="1:9" x14ac:dyDescent="0.2">
      <c r="B17" s="1048">
        <f>(B15+B16)*4.5%</f>
        <v>0</v>
      </c>
    </row>
    <row r="18" spans="1:9" x14ac:dyDescent="0.2">
      <c r="B18" s="1048">
        <f>SUM(B15:B17)</f>
        <v>0</v>
      </c>
    </row>
    <row r="19" spans="1:9" x14ac:dyDescent="0.2">
      <c r="A19" s="954" t="s">
        <v>617</v>
      </c>
      <c r="B19" s="953">
        <f>80/30</f>
        <v>2.6666666666666665</v>
      </c>
      <c r="C19" s="954" t="s">
        <v>618</v>
      </c>
      <c r="D19" s="954"/>
    </row>
    <row r="20" spans="1:9" x14ac:dyDescent="0.2">
      <c r="B20" s="1048">
        <f>B18+B19</f>
        <v>2.6666666666666665</v>
      </c>
    </row>
    <row r="28" spans="1:9" x14ac:dyDescent="0.2">
      <c r="D28" s="953">
        <f>4.93/100</f>
        <v>4.9299999999999997E-2</v>
      </c>
    </row>
    <row r="32" spans="1:9" ht="15" x14ac:dyDescent="0.25">
      <c r="I32" s="1047">
        <v>4064.84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E55F2-8ABD-41D9-91E0-5A651FEF1BB8}">
  <sheetPr>
    <pageSetUpPr fitToPage="1"/>
  </sheetPr>
  <dimension ref="K56:O82"/>
  <sheetViews>
    <sheetView topLeftCell="A36" workbookViewId="0">
      <selection activeCell="L57" sqref="L57"/>
    </sheetView>
  </sheetViews>
  <sheetFormatPr defaultColWidth="11.5703125" defaultRowHeight="12.75" x14ac:dyDescent="0.2"/>
  <cols>
    <col min="1" max="10" width="11.5703125" style="953"/>
    <col min="11" max="11" width="11.85546875" style="953" bestFit="1" customWidth="1"/>
    <col min="12" max="13" width="12" style="953" bestFit="1" customWidth="1"/>
    <col min="14" max="15" width="11.85546875" style="953" bestFit="1" customWidth="1"/>
    <col min="16" max="16384" width="11.5703125" style="953"/>
  </cols>
  <sheetData>
    <row r="56" spans="11:15" x14ac:dyDescent="0.2">
      <c r="L56" s="1046">
        <v>2026</v>
      </c>
      <c r="M56" s="1046">
        <v>2027</v>
      </c>
      <c r="N56" s="953">
        <v>2028</v>
      </c>
    </row>
    <row r="57" spans="11:15" ht="15.75" x14ac:dyDescent="0.25">
      <c r="K57" s="954" t="s">
        <v>560</v>
      </c>
      <c r="L57" s="1336">
        <v>83349</v>
      </c>
      <c r="M57" s="1048">
        <f>L57*3%+L57</f>
        <v>85849.47</v>
      </c>
      <c r="N57" s="1048">
        <f>M57*3%+M57</f>
        <v>88424.954100000003</v>
      </c>
    </row>
    <row r="58" spans="11:15" ht="15" x14ac:dyDescent="0.25">
      <c r="K58" s="954" t="s">
        <v>561</v>
      </c>
      <c r="L58" s="1047">
        <f>33951.26*5%+33951.26</f>
        <v>35648.823000000004</v>
      </c>
      <c r="M58" s="1048">
        <f>L58*3%+L58</f>
        <v>36718.287690000005</v>
      </c>
      <c r="N58" s="1048">
        <f t="shared" ref="N58:N59" si="0">M58*3%+M58</f>
        <v>37819.836320700007</v>
      </c>
    </row>
    <row r="59" spans="11:15" ht="15" x14ac:dyDescent="0.25">
      <c r="K59" s="954" t="s">
        <v>562</v>
      </c>
      <c r="L59" s="1047">
        <f>26007.66*5%+26007.66</f>
        <v>27308.043000000001</v>
      </c>
      <c r="M59" s="1048">
        <f>L59*3%+L59</f>
        <v>28127.284290000003</v>
      </c>
      <c r="N59" s="1048">
        <f t="shared" si="0"/>
        <v>28971.102818700005</v>
      </c>
    </row>
    <row r="60" spans="11:15" x14ac:dyDescent="0.2">
      <c r="K60" s="954" t="s">
        <v>563</v>
      </c>
      <c r="L60" s="1049">
        <v>23100.22</v>
      </c>
      <c r="M60" s="1048">
        <f>L60*5%+L60</f>
        <v>24255.231</v>
      </c>
      <c r="O60" s="1048">
        <f>M57-M58</f>
        <v>49131.182309999997</v>
      </c>
    </row>
    <row r="61" spans="11:15" x14ac:dyDescent="0.2">
      <c r="K61" s="954" t="s">
        <v>564</v>
      </c>
      <c r="O61" s="1048">
        <f>O60/14</f>
        <v>3509.3701649999998</v>
      </c>
    </row>
    <row r="62" spans="11:15" x14ac:dyDescent="0.2">
      <c r="K62" s="954" t="s">
        <v>565</v>
      </c>
    </row>
    <row r="65" spans="11:15" x14ac:dyDescent="0.2">
      <c r="K65" s="953">
        <f>1650.02</f>
        <v>1650.02</v>
      </c>
      <c r="L65" s="953">
        <f>K65*5%</f>
        <v>82.501000000000005</v>
      </c>
      <c r="M65" s="953">
        <f>(K65+L65)*3%</f>
        <v>51.975629999999995</v>
      </c>
      <c r="N65" s="1049">
        <f>SUM(K65:M65)</f>
        <v>1784.4966299999999</v>
      </c>
    </row>
    <row r="67" spans="11:15" x14ac:dyDescent="0.2">
      <c r="K67" s="1049">
        <f>38432.1</f>
        <v>38432.1</v>
      </c>
      <c r="L67" s="1049">
        <f>K67*5%</f>
        <v>1921.605</v>
      </c>
      <c r="M67" s="1049">
        <f>(K67+L67)*3%</f>
        <v>1210.61115</v>
      </c>
      <c r="N67" s="1048">
        <f>SUM(K67:M67)</f>
        <v>41564.316149999999</v>
      </c>
    </row>
    <row r="69" spans="11:15" x14ac:dyDescent="0.2">
      <c r="N69" s="1048">
        <f>N67/1701</f>
        <v>24.435224074074075</v>
      </c>
      <c r="O69" s="954" t="s">
        <v>567</v>
      </c>
    </row>
    <row r="70" spans="11:15" x14ac:dyDescent="0.2">
      <c r="N70" s="1048">
        <f>N69*10%</f>
        <v>2.4435224074074076</v>
      </c>
      <c r="O70" s="954" t="s">
        <v>568</v>
      </c>
    </row>
    <row r="71" spans="11:15" x14ac:dyDescent="0.2">
      <c r="N71" s="1048">
        <f>N69*25%</f>
        <v>6.1088060185185187</v>
      </c>
      <c r="O71" s="954" t="s">
        <v>569</v>
      </c>
    </row>
    <row r="73" spans="11:15" x14ac:dyDescent="0.2">
      <c r="K73" s="953">
        <f>33951.26</f>
        <v>33951.26</v>
      </c>
      <c r="L73" s="953">
        <f>K73*5%</f>
        <v>1697.5630000000001</v>
      </c>
      <c r="M73" s="953">
        <f>(K73+L73)*3%</f>
        <v>1069.46469</v>
      </c>
      <c r="N73" s="1049">
        <f>SUM(K73:M73)</f>
        <v>36718.287690000005</v>
      </c>
    </row>
    <row r="74" spans="11:15" x14ac:dyDescent="0.2">
      <c r="N74" s="1048">
        <f>N73/1701</f>
        <v>21.586294938271607</v>
      </c>
      <c r="O74" s="953" t="s">
        <v>567</v>
      </c>
    </row>
    <row r="75" spans="11:15" x14ac:dyDescent="0.2">
      <c r="N75" s="1048">
        <f>N74*10%</f>
        <v>2.1586294938271609</v>
      </c>
      <c r="O75" s="953" t="s">
        <v>568</v>
      </c>
    </row>
    <row r="76" spans="11:15" x14ac:dyDescent="0.2">
      <c r="N76" s="1048">
        <f>N74*25%</f>
        <v>5.3965737345679017</v>
      </c>
      <c r="O76" s="953" t="s">
        <v>569</v>
      </c>
    </row>
    <row r="79" spans="11:15" x14ac:dyDescent="0.2">
      <c r="K79" s="1048">
        <f>$M$59</f>
        <v>28127.284290000003</v>
      </c>
      <c r="N79" s="1048">
        <f>$M$59</f>
        <v>28127.284290000003</v>
      </c>
    </row>
    <row r="80" spans="11:15" x14ac:dyDescent="0.2">
      <c r="N80" s="1048">
        <f>N79/1701</f>
        <v>16.535734444444447</v>
      </c>
    </row>
    <row r="81" spans="14:14" x14ac:dyDescent="0.2">
      <c r="N81" s="1048">
        <f>N80*10%</f>
        <v>1.6535734444444448</v>
      </c>
    </row>
    <row r="82" spans="14:14" x14ac:dyDescent="0.2">
      <c r="N82" s="1048">
        <f>N80*25%</f>
        <v>4.1339336111111118</v>
      </c>
    </row>
  </sheetData>
  <pageMargins left="0.25" right="0.25" top="0.75" bottom="0.75" header="0.3" footer="0.3"/>
  <pageSetup paperSize="9" orientation="landscape" r:id="rId1"/>
  <headerFooter>
    <oddFooter>&amp;L&amp;F&amp;R&amp;A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V76"/>
  <sheetViews>
    <sheetView zoomScale="115" zoomScaleNormal="115" workbookViewId="0">
      <selection activeCell="V30" sqref="V30"/>
    </sheetView>
  </sheetViews>
  <sheetFormatPr defaultRowHeight="15" x14ac:dyDescent="0.25"/>
  <cols>
    <col min="1" max="1" width="5.5703125" style="284" customWidth="1"/>
    <col min="2" max="2" width="6.7109375" bestFit="1" customWidth="1"/>
    <col min="3" max="3" width="64.28515625" bestFit="1" customWidth="1"/>
    <col min="4" max="4" width="17.85546875" bestFit="1" customWidth="1"/>
    <col min="5" max="5" width="17.85546875" customWidth="1"/>
    <col min="6" max="6" width="20.42578125" hidden="1" customWidth="1"/>
    <col min="7" max="7" width="16.42578125" hidden="1" customWidth="1"/>
    <col min="8" max="8" width="16.85546875" style="284" hidden="1" customWidth="1"/>
    <col min="9" max="9" width="57.42578125" hidden="1" customWidth="1"/>
    <col min="11" max="17" width="0" hidden="1" customWidth="1"/>
    <col min="18" max="18" width="10.5703125" bestFit="1" customWidth="1"/>
    <col min="19" max="19" width="11.28515625" bestFit="1" customWidth="1"/>
    <col min="22" max="22" width="9.28515625" bestFit="1" customWidth="1"/>
  </cols>
  <sheetData>
    <row r="1" spans="1:19" x14ac:dyDescent="0.25">
      <c r="C1">
        <v>57095.5</v>
      </c>
    </row>
    <row r="3" spans="1:19" s="309" customFormat="1" ht="21" x14ac:dyDescent="0.35">
      <c r="A3" s="310"/>
      <c r="C3" s="1681" t="s">
        <v>280</v>
      </c>
      <c r="D3" s="1681"/>
      <c r="E3" s="1681"/>
      <c r="F3" s="1681"/>
      <c r="G3" s="1681"/>
      <c r="H3" s="1681"/>
      <c r="I3" s="1681"/>
    </row>
    <row r="4" spans="1:19" s="309" customFormat="1" ht="21" x14ac:dyDescent="0.35">
      <c r="A4" s="310"/>
      <c r="C4" s="1681"/>
      <c r="D4" s="1681"/>
      <c r="E4" s="1681"/>
      <c r="F4" s="1681"/>
      <c r="G4" s="1681"/>
      <c r="H4" s="1681"/>
      <c r="I4" s="1681"/>
    </row>
    <row r="5" spans="1:19" ht="15.75" thickBot="1" x14ac:dyDescent="0.3"/>
    <row r="6" spans="1:19" ht="29.45" customHeight="1" thickBot="1" x14ac:dyDescent="0.3">
      <c r="A6" s="298">
        <v>1</v>
      </c>
      <c r="B6" s="306" t="s">
        <v>258</v>
      </c>
      <c r="C6" s="308" t="s">
        <v>264</v>
      </c>
      <c r="D6" s="367" t="s">
        <v>254</v>
      </c>
      <c r="E6" s="1679" t="s">
        <v>555</v>
      </c>
      <c r="F6" s="367" t="s">
        <v>253</v>
      </c>
      <c r="G6" s="367" t="s">
        <v>252</v>
      </c>
      <c r="H6" s="367" t="s">
        <v>251</v>
      </c>
      <c r="I6" s="367" t="s">
        <v>262</v>
      </c>
      <c r="R6" t="s">
        <v>558</v>
      </c>
    </row>
    <row r="7" spans="1:19" ht="15.75" thickBot="1" x14ac:dyDescent="0.3">
      <c r="A7" s="298"/>
      <c r="B7" s="257"/>
      <c r="C7" s="797" t="s">
        <v>556</v>
      </c>
      <c r="D7" s="798"/>
      <c r="E7" s="1680"/>
      <c r="F7" s="798"/>
      <c r="G7" s="798"/>
      <c r="H7" s="798"/>
      <c r="I7" s="367"/>
    </row>
    <row r="8" spans="1:19" ht="20.100000000000001" customHeight="1" thickBot="1" x14ac:dyDescent="0.3">
      <c r="C8" s="583" t="s">
        <v>66</v>
      </c>
      <c r="D8" s="584">
        <f>'CALCUL ANUAL SASSEP'!$S$22</f>
        <v>50960.832000000002</v>
      </c>
      <c r="E8" s="584"/>
      <c r="F8" s="318">
        <f>F9</f>
        <v>48881.05</v>
      </c>
      <c r="G8" s="318">
        <f>G9</f>
        <v>25479.211560000003</v>
      </c>
      <c r="H8" s="700">
        <f>H9</f>
        <v>0.29437782665405543</v>
      </c>
      <c r="I8" s="574"/>
      <c r="K8" t="s">
        <v>265</v>
      </c>
      <c r="M8">
        <v>1700</v>
      </c>
      <c r="N8">
        <v>1</v>
      </c>
      <c r="O8">
        <v>29513.4</v>
      </c>
      <c r="P8">
        <v>39105.254999999997</v>
      </c>
      <c r="Q8">
        <v>39105.254999999997</v>
      </c>
    </row>
    <row r="9" spans="1:19" ht="35.1" customHeight="1" x14ac:dyDescent="0.25">
      <c r="C9" s="224" t="s">
        <v>426</v>
      </c>
      <c r="D9" s="697">
        <f>'CALCUL ANUAL SASSEP'!$S$21</f>
        <v>69273.68759999999</v>
      </c>
      <c r="E9" s="1023">
        <v>1</v>
      </c>
      <c r="F9" s="320">
        <v>48881.05</v>
      </c>
      <c r="G9" s="320">
        <v>25479.211560000003</v>
      </c>
      <c r="H9" s="926">
        <f>(D9-F9)/D9</f>
        <v>0.29437782665405543</v>
      </c>
      <c r="I9" s="891" t="s">
        <v>471</v>
      </c>
      <c r="R9" s="106">
        <v>49151.040000000001</v>
      </c>
      <c r="S9" t="s">
        <v>557</v>
      </c>
    </row>
    <row r="10" spans="1:19" ht="20.100000000000001" customHeight="1" x14ac:dyDescent="0.25">
      <c r="C10" s="394" t="s">
        <v>297</v>
      </c>
      <c r="D10" s="724">
        <f>SUM(D11:D15)</f>
        <v>2464563.5146844569</v>
      </c>
      <c r="E10" s="1024"/>
      <c r="F10" s="318">
        <f>SUM(F11:F14)</f>
        <v>1590356.1203781241</v>
      </c>
      <c r="G10" s="318">
        <f>SUM(G11:G15)</f>
        <v>788269.57430633286</v>
      </c>
      <c r="H10" s="319"/>
      <c r="I10" s="892"/>
      <c r="K10" t="s">
        <v>267</v>
      </c>
      <c r="M10">
        <v>27200</v>
      </c>
      <c r="N10">
        <v>16</v>
      </c>
      <c r="O10">
        <v>20639.22</v>
      </c>
      <c r="P10">
        <v>27346.966500000002</v>
      </c>
      <c r="Q10">
        <v>437551.46400000004</v>
      </c>
      <c r="R10" s="106"/>
      <c r="S10" s="1038"/>
    </row>
    <row r="11" spans="1:19" ht="20.100000000000001" customHeight="1" x14ac:dyDescent="0.25">
      <c r="C11" s="712" t="s">
        <v>67</v>
      </c>
      <c r="D11" s="722">
        <f>'CALCUL ANUAL SASSEP'!$S$37</f>
        <v>270116.22456</v>
      </c>
      <c r="E11" s="1025">
        <v>4</v>
      </c>
      <c r="F11" s="320">
        <v>89853.625120000012</v>
      </c>
      <c r="G11" s="320">
        <f t="shared" ref="G11:G14" si="0">D11-F11</f>
        <v>180262.59943999999</v>
      </c>
      <c r="H11" s="927">
        <f t="shared" ref="H11:H14" si="1">(D11/F11)-1</f>
        <v>2.006180598715503</v>
      </c>
      <c r="I11" s="1682" t="s">
        <v>505</v>
      </c>
      <c r="K11" t="s">
        <v>268</v>
      </c>
      <c r="M11">
        <v>29895.495495495499</v>
      </c>
      <c r="N11">
        <v>17.585585585585587</v>
      </c>
      <c r="O11">
        <v>20639.22</v>
      </c>
      <c r="P11">
        <v>27346.966500000002</v>
      </c>
      <c r="Q11">
        <v>480912.419891892</v>
      </c>
      <c r="R11" s="106">
        <v>44782.3</v>
      </c>
      <c r="S11" t="s">
        <v>557</v>
      </c>
    </row>
    <row r="12" spans="1:19" ht="23.45" customHeight="1" x14ac:dyDescent="0.25">
      <c r="C12" s="363" t="s">
        <v>300</v>
      </c>
      <c r="D12" s="701">
        <v>1544948.2968972088</v>
      </c>
      <c r="E12" s="1025">
        <v>33.590000000000003</v>
      </c>
      <c r="F12" s="301">
        <v>1087957.2</v>
      </c>
      <c r="G12" s="301">
        <f t="shared" si="0"/>
        <v>456991.09689720883</v>
      </c>
      <c r="H12" s="927">
        <f t="shared" si="1"/>
        <v>0.42004510554018926</v>
      </c>
      <c r="I12" s="1682"/>
      <c r="R12" s="106">
        <v>33980.04</v>
      </c>
      <c r="S12" t="s">
        <v>557</v>
      </c>
    </row>
    <row r="13" spans="1:19" ht="21.6" customHeight="1" x14ac:dyDescent="0.25">
      <c r="C13" s="364" t="s">
        <v>123</v>
      </c>
      <c r="D13" s="701">
        <v>314710.68322724808</v>
      </c>
      <c r="E13" s="1025">
        <v>6.3</v>
      </c>
      <c r="F13" s="320">
        <v>172211.98</v>
      </c>
      <c r="G13" s="320">
        <f>D13-F13</f>
        <v>142498.70322724807</v>
      </c>
      <c r="H13" s="927">
        <f t="shared" si="1"/>
        <v>0.8274610350989986</v>
      </c>
      <c r="I13" s="1682"/>
      <c r="R13" s="106">
        <v>35400.720000000001</v>
      </c>
      <c r="S13" t="s">
        <v>557</v>
      </c>
    </row>
    <row r="14" spans="1:19" ht="37.5" customHeight="1" x14ac:dyDescent="0.25">
      <c r="C14" s="7" t="s">
        <v>303</v>
      </c>
      <c r="D14" s="701">
        <v>248850.49</v>
      </c>
      <c r="E14" s="1025">
        <v>6</v>
      </c>
      <c r="F14" s="800">
        <v>240333.31525812403</v>
      </c>
      <c r="G14" s="301">
        <f t="shared" si="0"/>
        <v>8517.1747418759624</v>
      </c>
      <c r="H14" s="928">
        <f t="shared" si="1"/>
        <v>3.5439009913079689E-2</v>
      </c>
      <c r="I14" s="1683"/>
      <c r="K14" t="s">
        <v>269</v>
      </c>
      <c r="M14">
        <v>5100</v>
      </c>
      <c r="N14">
        <v>3</v>
      </c>
      <c r="O14">
        <v>20639.22</v>
      </c>
      <c r="P14">
        <v>27346.966500000002</v>
      </c>
      <c r="Q14">
        <v>82040.8995</v>
      </c>
      <c r="R14" s="106">
        <v>31056.632088167051</v>
      </c>
      <c r="S14" t="s">
        <v>557</v>
      </c>
    </row>
    <row r="15" spans="1:19" ht="26.45" customHeight="1" x14ac:dyDescent="0.25">
      <c r="C15" s="7" t="s">
        <v>472</v>
      </c>
      <c r="D15" s="701">
        <f>85937.82</f>
        <v>85937.82</v>
      </c>
      <c r="E15" s="1022" t="s">
        <v>546</v>
      </c>
      <c r="F15" s="301" t="s">
        <v>523</v>
      </c>
      <c r="G15" s="301"/>
      <c r="H15" s="928"/>
      <c r="I15" s="810" t="s">
        <v>496</v>
      </c>
      <c r="R15" s="106"/>
    </row>
    <row r="16" spans="1:19" ht="30.6" customHeight="1" x14ac:dyDescent="0.25">
      <c r="C16" s="848" t="s">
        <v>124</v>
      </c>
      <c r="D16" s="702" t="e">
        <f>SUM(D17:D24)</f>
        <v>#REF!</v>
      </c>
      <c r="E16" s="574"/>
      <c r="F16" s="910">
        <f>SUM(F17:F24)</f>
        <v>431681.18515749997</v>
      </c>
      <c r="G16" s="897">
        <f>SUM(G17:G25)</f>
        <v>64431.407999999996</v>
      </c>
      <c r="H16" s="849"/>
      <c r="I16" s="893"/>
      <c r="K16" t="s">
        <v>270</v>
      </c>
      <c r="M16">
        <v>5605.4054054054059</v>
      </c>
      <c r="N16">
        <v>3.2972972972972974</v>
      </c>
      <c r="O16">
        <v>20639.22</v>
      </c>
      <c r="P16">
        <v>27346.966500000002</v>
      </c>
      <c r="Q16">
        <v>90171.078729729736</v>
      </c>
      <c r="R16" s="106"/>
    </row>
    <row r="17" spans="3:19" ht="20.100000000000001" customHeight="1" x14ac:dyDescent="0.25">
      <c r="C17" s="364" t="s">
        <v>499</v>
      </c>
      <c r="D17" s="701">
        <v>141603.57</v>
      </c>
      <c r="E17" s="1026">
        <v>4</v>
      </c>
      <c r="F17" s="800">
        <v>109387.86600000001</v>
      </c>
      <c r="G17" s="160">
        <f>D17-F17</f>
        <v>32215.703999999998</v>
      </c>
      <c r="H17" s="929">
        <f>(D17-F17)/D17</f>
        <v>0.22750629804036718</v>
      </c>
      <c r="I17" s="1684" t="s">
        <v>522</v>
      </c>
      <c r="R17" s="106">
        <v>26010.48</v>
      </c>
      <c r="S17" t="s">
        <v>557</v>
      </c>
    </row>
    <row r="18" spans="3:19" ht="20.100000000000001" customHeight="1" x14ac:dyDescent="0.25">
      <c r="C18" s="364" t="s">
        <v>498</v>
      </c>
      <c r="D18" s="701">
        <f>'CALCUL ANUAL SASSEP'!S92</f>
        <v>1379.4462864000002</v>
      </c>
      <c r="E18" s="1026">
        <v>1</v>
      </c>
      <c r="F18" s="301">
        <v>66030.951000000001</v>
      </c>
      <c r="G18" s="7"/>
      <c r="H18" s="930">
        <f t="shared" ref="H18:H24" si="2">(D18-F18)/D18</f>
        <v>-46.8677217453126</v>
      </c>
      <c r="I18" s="1685"/>
      <c r="R18" s="106">
        <v>37239.96</v>
      </c>
      <c r="S18" t="s">
        <v>557</v>
      </c>
    </row>
    <row r="19" spans="3:19" ht="20.100000000000001" customHeight="1" x14ac:dyDescent="0.25">
      <c r="C19" s="364" t="s">
        <v>493</v>
      </c>
      <c r="D19" s="701">
        <f>'CALCUL ANUAL SASSEP'!S95</f>
        <v>24386.639705999998</v>
      </c>
      <c r="E19" s="1026">
        <v>2</v>
      </c>
      <c r="F19" s="301">
        <v>19735.394157499999</v>
      </c>
      <c r="G19" s="7"/>
      <c r="H19" s="924">
        <f t="shared" si="2"/>
        <v>0.19072925194181731</v>
      </c>
      <c r="I19" s="1685"/>
      <c r="K19" t="s">
        <v>272</v>
      </c>
      <c r="M19">
        <v>6800</v>
      </c>
      <c r="N19">
        <v>4</v>
      </c>
      <c r="O19">
        <v>20639.22</v>
      </c>
      <c r="P19">
        <v>27346.966500000002</v>
      </c>
      <c r="Q19">
        <v>109387.86600000001</v>
      </c>
      <c r="R19" s="106">
        <v>6783.6449999999995</v>
      </c>
      <c r="S19" t="s">
        <v>557</v>
      </c>
    </row>
    <row r="20" spans="3:19" ht="20.100000000000001" customHeight="1" x14ac:dyDescent="0.25">
      <c r="C20" s="364" t="s">
        <v>497</v>
      </c>
      <c r="D20" s="701">
        <f>'CALCUL ANUAL SASSEP'!S99</f>
        <v>30630.6</v>
      </c>
      <c r="E20" s="1026">
        <v>2</v>
      </c>
      <c r="F20" s="301">
        <v>48335.74</v>
      </c>
      <c r="G20" s="301"/>
      <c r="H20" s="929">
        <f t="shared" si="2"/>
        <v>-0.57802132508014858</v>
      </c>
      <c r="I20" s="1685"/>
      <c r="K20" t="s">
        <v>274</v>
      </c>
      <c r="R20" s="106">
        <v>22765.439999999999</v>
      </c>
      <c r="S20" t="s">
        <v>557</v>
      </c>
    </row>
    <row r="21" spans="3:19" ht="20.100000000000001" customHeight="1" x14ac:dyDescent="0.25">
      <c r="C21" s="364" t="s">
        <v>500</v>
      </c>
      <c r="D21" s="697">
        <f>'CALCUL ANUAL SASSEP'!S103</f>
        <v>106725.762</v>
      </c>
      <c r="E21" s="1027">
        <v>2</v>
      </c>
      <c r="F21" s="320">
        <v>61013.175999999999</v>
      </c>
      <c r="G21" s="301"/>
      <c r="H21" s="929">
        <f t="shared" si="2"/>
        <v>0.42831819743765337</v>
      </c>
      <c r="I21" s="1685"/>
      <c r="K21" t="s">
        <v>275</v>
      </c>
      <c r="M21">
        <v>3400</v>
      </c>
      <c r="N21">
        <v>2</v>
      </c>
      <c r="O21">
        <v>23023.84</v>
      </c>
      <c r="P21">
        <v>30506.588</v>
      </c>
      <c r="Q21">
        <v>61013.175999999999</v>
      </c>
      <c r="R21" s="106">
        <v>29299.08</v>
      </c>
      <c r="S21" t="s">
        <v>557</v>
      </c>
    </row>
    <row r="22" spans="3:19" ht="20.100000000000001" customHeight="1" x14ac:dyDescent="0.25">
      <c r="C22" s="364" t="s">
        <v>501</v>
      </c>
      <c r="D22" s="697" t="e">
        <f>'CALCUL ANUAL SASSEP'!#REF!</f>
        <v>#REF!</v>
      </c>
      <c r="E22" s="1027">
        <v>1</v>
      </c>
      <c r="F22" s="320">
        <v>30506.588</v>
      </c>
      <c r="G22" s="301">
        <f>D17-F17</f>
        <v>32215.703999999998</v>
      </c>
      <c r="H22" s="929" t="e">
        <f>(D22-F22)/D22</f>
        <v>#REF!</v>
      </c>
      <c r="I22" s="1685"/>
      <c r="K22" t="s">
        <v>276</v>
      </c>
      <c r="M22">
        <v>1700</v>
      </c>
      <c r="N22">
        <v>1</v>
      </c>
      <c r="O22">
        <v>23023.84</v>
      </c>
      <c r="P22">
        <v>30506.588</v>
      </c>
      <c r="Q22">
        <v>30506.588</v>
      </c>
      <c r="R22" s="106">
        <v>29299.08</v>
      </c>
      <c r="S22" t="s">
        <v>557</v>
      </c>
    </row>
    <row r="23" spans="3:19" ht="20.100000000000001" customHeight="1" x14ac:dyDescent="0.25">
      <c r="C23" s="365" t="s">
        <v>502</v>
      </c>
      <c r="D23" s="697" t="e">
        <f>'CALCUL ANUAL SASSEP'!#REF!</f>
        <v>#REF!</v>
      </c>
      <c r="E23" s="1028">
        <v>2</v>
      </c>
      <c r="F23" s="320">
        <v>48335.735000000001</v>
      </c>
      <c r="G23" s="301"/>
      <c r="H23" s="929" t="e">
        <f t="shared" si="2"/>
        <v>#REF!</v>
      </c>
      <c r="I23" s="1685"/>
      <c r="K23" t="s">
        <v>277</v>
      </c>
      <c r="M23">
        <v>3400</v>
      </c>
      <c r="N23">
        <v>2</v>
      </c>
      <c r="O23">
        <v>18239.900000000001</v>
      </c>
      <c r="P23">
        <v>24167.8675</v>
      </c>
      <c r="Q23">
        <v>48335.735000000001</v>
      </c>
      <c r="R23" s="106">
        <v>24149.52</v>
      </c>
      <c r="S23" t="s">
        <v>557</v>
      </c>
    </row>
    <row r="24" spans="3:19" ht="20.100000000000001" customHeight="1" x14ac:dyDescent="0.25">
      <c r="C24" s="4" t="s">
        <v>503</v>
      </c>
      <c r="D24" s="697">
        <f>'CALCUL ANUAL SASSEP'!S106</f>
        <v>27381.103822799996</v>
      </c>
      <c r="E24" s="1028">
        <v>1</v>
      </c>
      <c r="F24" s="320">
        <v>48335.735000000001</v>
      </c>
      <c r="G24" s="320"/>
      <c r="H24" s="924">
        <f t="shared" si="2"/>
        <v>-0.76529534064113491</v>
      </c>
      <c r="I24" s="1686"/>
      <c r="K24" t="s">
        <v>277</v>
      </c>
      <c r="M24">
        <v>3400</v>
      </c>
      <c r="N24">
        <v>2</v>
      </c>
      <c r="O24">
        <v>18239.900000000001</v>
      </c>
      <c r="P24">
        <v>24167.8675</v>
      </c>
      <c r="Q24">
        <v>48335.735000000001</v>
      </c>
      <c r="R24" s="106">
        <v>20661.12</v>
      </c>
      <c r="S24" t="s">
        <v>557</v>
      </c>
    </row>
    <row r="25" spans="3:19" ht="20.100000000000001" customHeight="1" x14ac:dyDescent="0.25">
      <c r="C25" s="7" t="s">
        <v>472</v>
      </c>
      <c r="D25" s="20">
        <v>1968.5295269286544</v>
      </c>
      <c r="E25" s="320" t="s">
        <v>547</v>
      </c>
      <c r="F25" s="320" t="s">
        <v>523</v>
      </c>
      <c r="G25" s="320"/>
      <c r="H25" s="924"/>
      <c r="I25" s="890" t="s">
        <v>504</v>
      </c>
      <c r="R25" s="106"/>
    </row>
    <row r="26" spans="3:19" ht="20.100000000000001" customHeight="1" x14ac:dyDescent="0.25">
      <c r="C26" s="726" t="s">
        <v>314</v>
      </c>
      <c r="D26" s="584">
        <f>D27</f>
        <v>51835.991999999998</v>
      </c>
      <c r="E26" s="318"/>
      <c r="F26" s="801">
        <f>F27</f>
        <v>36414.25</v>
      </c>
      <c r="G26" s="318"/>
      <c r="H26" s="319"/>
      <c r="I26" s="894"/>
      <c r="R26" s="106"/>
    </row>
    <row r="27" spans="3:19" ht="20.100000000000001" customHeight="1" x14ac:dyDescent="0.25">
      <c r="C27" s="7" t="s">
        <v>506</v>
      </c>
      <c r="D27" s="697">
        <f>'TAULA MARE DEF'!$U$68</f>
        <v>51835.991999999998</v>
      </c>
      <c r="E27" s="1028">
        <v>2</v>
      </c>
      <c r="F27" s="320">
        <v>36414.25</v>
      </c>
      <c r="G27" s="301"/>
      <c r="H27" s="307"/>
      <c r="I27" s="760"/>
      <c r="R27" s="106">
        <v>19546</v>
      </c>
      <c r="S27" t="s">
        <v>559</v>
      </c>
    </row>
    <row r="28" spans="3:19" x14ac:dyDescent="0.25">
      <c r="C28" s="713" t="s">
        <v>429</v>
      </c>
      <c r="D28" s="897" t="e">
        <f>D8+D10+D16+D26</f>
        <v>#REF!</v>
      </c>
      <c r="E28" s="906"/>
      <c r="F28" s="906">
        <f>F8+F10+F16</f>
        <v>2070918.3555356241</v>
      </c>
      <c r="G28" s="906"/>
      <c r="H28" s="849"/>
      <c r="I28" s="706"/>
      <c r="R28" s="106"/>
    </row>
    <row r="29" spans="3:19" ht="18" customHeight="1" x14ac:dyDescent="0.25">
      <c r="C29" s="727" t="s">
        <v>428</v>
      </c>
      <c r="D29" s="728">
        <f>SUM(D30:D32)</f>
        <v>634334.9728706812</v>
      </c>
      <c r="E29" s="729"/>
      <c r="F29" s="729">
        <f>SUM(F30:F31)</f>
        <v>136491.66826596312</v>
      </c>
      <c r="G29" s="729" t="e">
        <f>SUM(G30:G32)</f>
        <v>#REF!</v>
      </c>
      <c r="H29" s="730"/>
      <c r="I29" s="706"/>
      <c r="R29" s="106"/>
    </row>
    <row r="30" spans="3:19" ht="30" customHeight="1" x14ac:dyDescent="0.25">
      <c r="C30" s="7" t="s">
        <v>284</v>
      </c>
      <c r="D30" s="711">
        <f>'CALCUL ANUAL SASSEP'!$S$119</f>
        <v>468424.87046503782</v>
      </c>
      <c r="E30" s="703"/>
      <c r="F30" s="703">
        <v>105745.7796703807</v>
      </c>
      <c r="G30" s="704">
        <f>D20-F20</f>
        <v>-17705.14</v>
      </c>
      <c r="H30" s="931">
        <f>(D20/F20)-1</f>
        <v>-0.36629500241436252</v>
      </c>
      <c r="I30" s="1687" t="s">
        <v>507</v>
      </c>
      <c r="R30" s="106"/>
    </row>
    <row r="31" spans="3:19" ht="30" customHeight="1" x14ac:dyDescent="0.25">
      <c r="C31" s="323" t="s">
        <v>286</v>
      </c>
      <c r="D31" s="320">
        <v>45285.67224297276</v>
      </c>
      <c r="E31" s="320"/>
      <c r="F31" s="895">
        <v>30745.888595582433</v>
      </c>
      <c r="G31" s="320">
        <f>D21-F21</f>
        <v>45712.586000000003</v>
      </c>
      <c r="H31" s="927">
        <f>(D21/F21)-1</f>
        <v>0.74922482317589889</v>
      </c>
      <c r="I31" s="1688"/>
      <c r="R31" s="106"/>
    </row>
    <row r="32" spans="3:19" ht="30" customHeight="1" x14ac:dyDescent="0.25">
      <c r="C32" s="365" t="s">
        <v>285</v>
      </c>
      <c r="D32" s="320">
        <f>'CALCUL ANUAL SASSEP'!$S$121</f>
        <v>120624.43016267067</v>
      </c>
      <c r="E32" s="320"/>
      <c r="F32" s="320">
        <v>150141.86824139344</v>
      </c>
      <c r="G32" s="320" t="e">
        <f>D22-F22</f>
        <v>#REF!</v>
      </c>
      <c r="H32" s="927" t="e">
        <f>(D22/F22)-1</f>
        <v>#REF!</v>
      </c>
      <c r="I32" s="1689"/>
      <c r="R32" s="106"/>
    </row>
    <row r="33" spans="1:18" ht="18" customHeight="1" x14ac:dyDescent="0.25">
      <c r="C33" s="713" t="s">
        <v>524</v>
      </c>
      <c r="D33" s="897" t="e">
        <f>D28+D29</f>
        <v>#REF!</v>
      </c>
      <c r="E33" s="906"/>
      <c r="F33" s="906">
        <f>F28+F29</f>
        <v>2207410.0238015871</v>
      </c>
      <c r="G33" s="897" t="e">
        <f>D33-F33</f>
        <v>#REF!</v>
      </c>
      <c r="H33" s="319"/>
      <c r="I33" s="899"/>
      <c r="R33" s="106"/>
    </row>
    <row r="34" spans="1:18" ht="18" customHeight="1" x14ac:dyDescent="0.25">
      <c r="C34" s="713" t="s">
        <v>436</v>
      </c>
      <c r="D34" s="897">
        <f>D35+D36+D37</f>
        <v>107850</v>
      </c>
      <c r="E34" s="906"/>
      <c r="F34" s="906">
        <f>F35+F36+F37</f>
        <v>89600</v>
      </c>
      <c r="G34" s="897"/>
      <c r="H34" s="319"/>
      <c r="I34" s="899"/>
      <c r="R34" s="106"/>
    </row>
    <row r="35" spans="1:18" ht="18" customHeight="1" x14ac:dyDescent="0.25">
      <c r="C35" s="4" t="s">
        <v>509</v>
      </c>
      <c r="D35" s="697">
        <f>'CALCUL ANUAL SASSEP'!S127</f>
        <v>57600</v>
      </c>
      <c r="E35" s="1035" t="s">
        <v>549</v>
      </c>
      <c r="F35" s="320">
        <v>50000</v>
      </c>
      <c r="G35" s="697">
        <f>D35-F35</f>
        <v>7600</v>
      </c>
      <c r="H35" s="321">
        <f>(D35-F35)/D35</f>
        <v>0.13194444444444445</v>
      </c>
      <c r="I35" s="760" t="s">
        <v>512</v>
      </c>
      <c r="R35" s="106"/>
    </row>
    <row r="36" spans="1:18" ht="18" customHeight="1" x14ac:dyDescent="0.25">
      <c r="C36" s="4" t="s">
        <v>510</v>
      </c>
      <c r="D36" s="697">
        <f>'CALCUL ANUAL SASSEP'!S129</f>
        <v>29250</v>
      </c>
      <c r="E36" s="1035" t="s">
        <v>549</v>
      </c>
      <c r="F36" s="320">
        <v>26400</v>
      </c>
      <c r="G36" s="697">
        <f t="shared" ref="G36:G37" si="3">D36-F36</f>
        <v>2850</v>
      </c>
      <c r="H36" s="321">
        <f t="shared" ref="H36:H37" si="4">(D36-F36)/D36</f>
        <v>9.7435897435897437E-2</v>
      </c>
      <c r="I36" s="896" t="s">
        <v>513</v>
      </c>
      <c r="R36" s="106"/>
    </row>
    <row r="37" spans="1:18" ht="18" customHeight="1" x14ac:dyDescent="0.25">
      <c r="C37" s="4" t="s">
        <v>550</v>
      </c>
      <c r="D37" s="697">
        <f>'CALCUL ANUAL SASSEP'!S130</f>
        <v>21000</v>
      </c>
      <c r="E37" s="1035" t="s">
        <v>549</v>
      </c>
      <c r="F37" s="320">
        <v>13200</v>
      </c>
      <c r="G37" s="697">
        <f t="shared" si="3"/>
        <v>7800</v>
      </c>
      <c r="H37" s="927">
        <f t="shared" si="4"/>
        <v>0.37142857142857144</v>
      </c>
      <c r="I37" s="760" t="s">
        <v>514</v>
      </c>
      <c r="R37" s="106"/>
    </row>
    <row r="38" spans="1:18" ht="18" customHeight="1" thickBot="1" x14ac:dyDescent="0.3">
      <c r="C38" s="763" t="s">
        <v>525</v>
      </c>
      <c r="D38" s="764" t="e">
        <f>D33+D34</f>
        <v>#REF!</v>
      </c>
      <c r="E38" s="1036"/>
      <c r="F38" s="765">
        <f>F33+F34+F26</f>
        <v>2333424.2738015871</v>
      </c>
      <c r="G38" s="764" t="e">
        <f>D38-F38</f>
        <v>#REF!</v>
      </c>
      <c r="H38" s="321"/>
      <c r="I38" s="325"/>
      <c r="R38" s="106"/>
    </row>
    <row r="39" spans="1:18" ht="18" customHeight="1" thickBot="1" x14ac:dyDescent="0.3">
      <c r="A39" s="298">
        <v>2</v>
      </c>
      <c r="B39" s="759" t="s">
        <v>258</v>
      </c>
      <c r="C39" s="915" t="s">
        <v>263</v>
      </c>
      <c r="D39" s="934">
        <f>SUM(D40:D54)</f>
        <v>136887.85</v>
      </c>
      <c r="E39" s="915"/>
      <c r="F39" s="935">
        <f>SUM(F40:F54)</f>
        <v>326907.13</v>
      </c>
      <c r="G39" s="915"/>
      <c r="H39" s="915"/>
      <c r="I39" s="936"/>
      <c r="R39" s="106"/>
    </row>
    <row r="40" spans="1:18" ht="18" customHeight="1" x14ac:dyDescent="0.25">
      <c r="C40" s="760" t="s">
        <v>401</v>
      </c>
      <c r="D40" s="933">
        <v>93007.849999999991</v>
      </c>
      <c r="E40" s="1037" t="s">
        <v>551</v>
      </c>
      <c r="F40" s="920">
        <v>86837.13</v>
      </c>
      <c r="G40" s="761"/>
      <c r="H40" s="932">
        <f>(D40-F40)/D40</f>
        <v>6.6346227764645535E-2</v>
      </c>
      <c r="I40" s="903" t="s">
        <v>518</v>
      </c>
      <c r="R40" s="106"/>
    </row>
    <row r="41" spans="1:18" x14ac:dyDescent="0.25">
      <c r="C41" s="360" t="s">
        <v>402</v>
      </c>
      <c r="D41" s="923">
        <v>1200</v>
      </c>
      <c r="E41" s="1029" t="s">
        <v>552</v>
      </c>
      <c r="F41" s="106">
        <v>1200</v>
      </c>
      <c r="G41" s="301"/>
      <c r="H41" s="932">
        <f t="shared" ref="H41:H43" si="5">(D41-F41)/D41</f>
        <v>0</v>
      </c>
      <c r="I41" s="760" t="s">
        <v>515</v>
      </c>
      <c r="R41" s="106"/>
    </row>
    <row r="42" spans="1:18" x14ac:dyDescent="0.25">
      <c r="C42" s="360" t="s">
        <v>554</v>
      </c>
      <c r="D42" s="320">
        <v>1200</v>
      </c>
      <c r="E42" s="1029" t="s">
        <v>553</v>
      </c>
      <c r="F42" s="937">
        <v>100000</v>
      </c>
      <c r="G42" s="301"/>
      <c r="H42" s="939">
        <f t="shared" si="5"/>
        <v>-82.333333333333329</v>
      </c>
      <c r="I42" s="299"/>
      <c r="R42" s="106"/>
    </row>
    <row r="43" spans="1:18" x14ac:dyDescent="0.25">
      <c r="A43" s="298"/>
      <c r="B43" s="257"/>
      <c r="C43" s="7" t="s">
        <v>343</v>
      </c>
      <c r="D43" s="320">
        <v>720</v>
      </c>
      <c r="E43" s="697"/>
      <c r="F43" s="938">
        <v>120000</v>
      </c>
      <c r="G43" s="301"/>
      <c r="H43" s="939">
        <f t="shared" si="5"/>
        <v>-165.66666666666666</v>
      </c>
      <c r="I43" s="299"/>
      <c r="R43" s="106"/>
    </row>
    <row r="44" spans="1:18" x14ac:dyDescent="0.25">
      <c r="A44" s="298"/>
      <c r="B44" s="257"/>
      <c r="C44" s="7" t="s">
        <v>134</v>
      </c>
      <c r="D44" s="697">
        <v>6264</v>
      </c>
      <c r="E44" s="697"/>
      <c r="F44" s="901"/>
      <c r="G44" s="301"/>
      <c r="H44" s="925"/>
      <c r="I44" s="1690" t="s">
        <v>516</v>
      </c>
      <c r="R44" s="106"/>
    </row>
    <row r="45" spans="1:18" x14ac:dyDescent="0.25">
      <c r="C45" s="7" t="s">
        <v>135</v>
      </c>
      <c r="D45" s="697">
        <v>5940</v>
      </c>
      <c r="E45" s="320"/>
      <c r="F45" s="901"/>
      <c r="G45" s="301"/>
      <c r="H45" s="925"/>
      <c r="I45" s="1691"/>
      <c r="R45" s="106"/>
    </row>
    <row r="46" spans="1:18" x14ac:dyDescent="0.25">
      <c r="C46" s="7" t="s">
        <v>316</v>
      </c>
      <c r="D46" s="320">
        <v>1196</v>
      </c>
      <c r="E46" s="320"/>
      <c r="F46" s="901"/>
      <c r="G46" s="301"/>
      <c r="H46" s="925"/>
      <c r="I46" s="1690" t="s">
        <v>517</v>
      </c>
      <c r="R46" s="106"/>
    </row>
    <row r="47" spans="1:18" ht="14.45" customHeight="1" x14ac:dyDescent="0.25">
      <c r="C47" s="7" t="s">
        <v>204</v>
      </c>
      <c r="D47" s="697">
        <v>1161.5999999999999</v>
      </c>
      <c r="E47" s="720"/>
      <c r="F47" s="901"/>
      <c r="G47" s="301"/>
      <c r="H47" s="925"/>
      <c r="I47" s="1690"/>
      <c r="R47" s="106"/>
    </row>
    <row r="48" spans="1:18" x14ac:dyDescent="0.25">
      <c r="C48" s="7" t="s">
        <v>317</v>
      </c>
      <c r="D48" s="701">
        <v>360</v>
      </c>
      <c r="E48" s="320"/>
      <c r="F48" s="901"/>
      <c r="G48" s="301"/>
      <c r="H48" s="925"/>
      <c r="I48" s="1690"/>
      <c r="R48" s="106"/>
    </row>
    <row r="49" spans="1:18" x14ac:dyDescent="0.25">
      <c r="C49" s="7" t="s">
        <v>234</v>
      </c>
      <c r="D49" s="697">
        <v>1603.2</v>
      </c>
      <c r="E49" s="320"/>
      <c r="F49" s="901"/>
      <c r="G49" s="301"/>
      <c r="H49" s="925"/>
      <c r="I49" s="1690"/>
      <c r="R49" s="106"/>
    </row>
    <row r="50" spans="1:18" x14ac:dyDescent="0.25">
      <c r="C50" s="7" t="s">
        <v>157</v>
      </c>
      <c r="D50" s="697">
        <v>4020</v>
      </c>
      <c r="E50" s="320"/>
      <c r="F50" s="901"/>
      <c r="G50" s="301"/>
      <c r="H50" s="925"/>
      <c r="I50" s="1690"/>
      <c r="R50" s="106"/>
    </row>
    <row r="51" spans="1:18" x14ac:dyDescent="0.25">
      <c r="C51" s="7" t="s">
        <v>158</v>
      </c>
      <c r="D51" s="697">
        <v>378</v>
      </c>
      <c r="E51" s="320"/>
      <c r="F51" s="901"/>
      <c r="G51" s="301"/>
      <c r="H51" s="925"/>
      <c r="I51" s="1690"/>
      <c r="R51" s="106"/>
    </row>
    <row r="52" spans="1:18" x14ac:dyDescent="0.25">
      <c r="C52" s="7" t="s">
        <v>55</v>
      </c>
      <c r="D52" s="697">
        <v>3240</v>
      </c>
      <c r="E52" s="320"/>
      <c r="F52" s="301">
        <v>3150</v>
      </c>
      <c r="H52" s="925"/>
      <c r="I52" s="1690"/>
      <c r="R52" s="106"/>
    </row>
    <row r="53" spans="1:18" x14ac:dyDescent="0.25">
      <c r="C53" s="7" t="s">
        <v>137</v>
      </c>
      <c r="D53" s="320">
        <v>16297.199999999999</v>
      </c>
      <c r="E53" s="320"/>
      <c r="F53" s="301">
        <v>15120</v>
      </c>
      <c r="H53" s="925"/>
      <c r="I53" s="299"/>
      <c r="R53" s="106"/>
    </row>
    <row r="54" spans="1:18" x14ac:dyDescent="0.25">
      <c r="C54" s="7" t="s">
        <v>56</v>
      </c>
      <c r="D54" s="320">
        <v>300</v>
      </c>
      <c r="E54" s="911"/>
      <c r="F54" s="912">
        <v>600</v>
      </c>
      <c r="H54" s="925"/>
      <c r="I54" s="913"/>
      <c r="R54" s="106"/>
    </row>
    <row r="55" spans="1:18" x14ac:dyDescent="0.25">
      <c r="C55" s="915" t="s">
        <v>519</v>
      </c>
      <c r="D55" s="917" t="e">
        <f>SUM(D56:D64)</f>
        <v>#REF!</v>
      </c>
      <c r="E55" s="915"/>
      <c r="F55" s="916">
        <f>SUM(F56:F64)</f>
        <v>93290.91</v>
      </c>
      <c r="G55" s="915"/>
      <c r="H55" s="915"/>
      <c r="I55" s="915"/>
      <c r="R55" s="106"/>
    </row>
    <row r="56" spans="1:18" ht="15.75" thickBot="1" x14ac:dyDescent="0.3">
      <c r="C56" s="710" t="s">
        <v>245</v>
      </c>
      <c r="D56" s="703" t="e">
        <f>'CALCUL ANUAL SASSEP'!#REF!</f>
        <v>#REF!</v>
      </c>
      <c r="E56" s="326"/>
      <c r="F56" s="729"/>
      <c r="G56" s="704"/>
      <c r="H56" s="914"/>
      <c r="I56" s="1672"/>
      <c r="R56" s="106"/>
    </row>
    <row r="57" spans="1:18" ht="15.75" thickBot="1" x14ac:dyDescent="0.3">
      <c r="C57" s="710" t="s">
        <v>494</v>
      </c>
      <c r="D57" s="320" t="e">
        <f>'CALCUL ANUAL SASSEP'!#REF!</f>
        <v>#REF!</v>
      </c>
      <c r="E57" s="324"/>
      <c r="F57" s="901"/>
      <c r="G57" s="301"/>
      <c r="H57" s="314"/>
      <c r="I57" s="1672"/>
      <c r="R57" s="106"/>
    </row>
    <row r="58" spans="1:18" ht="15.75" thickBot="1" x14ac:dyDescent="0.3">
      <c r="C58" s="710" t="s">
        <v>151</v>
      </c>
      <c r="D58" s="320">
        <f>'CALCUL ANUAL SASSEP'!S159</f>
        <v>732</v>
      </c>
      <c r="E58" s="324"/>
      <c r="F58" s="901"/>
      <c r="G58" s="301"/>
      <c r="H58" s="314"/>
      <c r="I58" s="1673"/>
      <c r="R58" s="106"/>
    </row>
    <row r="59" spans="1:18" ht="15.75" thickBot="1" x14ac:dyDescent="0.3">
      <c r="C59" s="710" t="s">
        <v>228</v>
      </c>
      <c r="D59" s="320" t="e">
        <f>'CALCUL ANUAL SASSEP'!#REF!</f>
        <v>#REF!</v>
      </c>
      <c r="E59" s="324"/>
      <c r="F59" s="901"/>
      <c r="G59" s="301"/>
      <c r="H59" s="300"/>
      <c r="I59" s="760" t="s">
        <v>521</v>
      </c>
      <c r="R59" s="106"/>
    </row>
    <row r="60" spans="1:18" ht="15.75" thickBot="1" x14ac:dyDescent="0.3">
      <c r="C60" s="710" t="s">
        <v>403</v>
      </c>
      <c r="D60" s="320">
        <f>'CALCUL ANUAL SASSEP'!S160</f>
        <v>1100</v>
      </c>
      <c r="E60" s="324"/>
      <c r="F60" s="320">
        <v>4200</v>
      </c>
      <c r="G60" s="301"/>
      <c r="H60" s="300"/>
      <c r="I60" s="1674" t="s">
        <v>520</v>
      </c>
      <c r="R60" s="106"/>
    </row>
    <row r="61" spans="1:18" ht="15.75" thickBot="1" x14ac:dyDescent="0.3">
      <c r="C61" s="710" t="s">
        <v>478</v>
      </c>
      <c r="D61" s="320" t="e">
        <f>'CALCUL ANUAL SASSEP'!#REF!</f>
        <v>#REF!</v>
      </c>
      <c r="E61" s="324"/>
      <c r="F61" s="900"/>
      <c r="G61" s="301"/>
      <c r="H61" s="300"/>
      <c r="I61" s="1675"/>
      <c r="R61" s="106"/>
    </row>
    <row r="62" spans="1:18" s="257" customFormat="1" x14ac:dyDescent="0.25">
      <c r="A62" s="298"/>
      <c r="C62" s="718" t="s">
        <v>227</v>
      </c>
      <c r="D62" s="320" t="e">
        <f>'CALCUL ANUAL SASSEP'!#REF!</f>
        <v>#REF!</v>
      </c>
      <c r="E62" s="324"/>
      <c r="F62" s="900"/>
      <c r="G62" s="301"/>
      <c r="H62" s="300"/>
      <c r="I62" s="1675"/>
      <c r="R62" s="106"/>
    </row>
    <row r="63" spans="1:18" s="257" customFormat="1" ht="15.75" thickBot="1" x14ac:dyDescent="0.3">
      <c r="A63" s="298"/>
      <c r="C63" s="7" t="s">
        <v>480</v>
      </c>
      <c r="D63" s="320" t="e">
        <f>'CALCUL ANUAL SASSEP'!#REF!</f>
        <v>#REF!</v>
      </c>
      <c r="E63" s="324"/>
      <c r="F63" s="907"/>
      <c r="G63" s="313"/>
      <c r="H63" s="315"/>
      <c r="I63" s="1676"/>
      <c r="R63" s="106"/>
    </row>
    <row r="64" spans="1:18" s="295" customFormat="1" ht="16.5" thickBot="1" x14ac:dyDescent="0.3">
      <c r="A64" s="291"/>
      <c r="C64" s="1030" t="s">
        <v>405</v>
      </c>
      <c r="D64" s="1031">
        <v>90000</v>
      </c>
      <c r="E64" s="1032" t="s">
        <v>548</v>
      </c>
      <c r="F64" s="904">
        <v>89090.91</v>
      </c>
      <c r="H64" s="905">
        <f>(D64-F64)/D64</f>
        <v>1.0100999999999961E-2</v>
      </c>
      <c r="I64" s="908"/>
      <c r="R64" s="106"/>
    </row>
    <row r="65" spans="1:22" s="293" customFormat="1" ht="15.75" x14ac:dyDescent="0.25">
      <c r="A65" s="294"/>
      <c r="C65" s="763" t="s">
        <v>432</v>
      </c>
      <c r="D65" s="902" t="e">
        <f>D55+D39</f>
        <v>#REF!</v>
      </c>
      <c r="E65" s="763"/>
      <c r="F65" s="777">
        <f>F55+F39</f>
        <v>420198.04000000004</v>
      </c>
      <c r="G65" s="763"/>
      <c r="H65" s="763"/>
      <c r="I65" s="763"/>
      <c r="R65" s="106"/>
      <c r="V65" s="1033"/>
    </row>
    <row r="66" spans="1:22" s="293" customFormat="1" ht="15.75" x14ac:dyDescent="0.25">
      <c r="A66" s="294"/>
      <c r="C66" s="111" t="s">
        <v>435</v>
      </c>
      <c r="D66" s="776" t="e">
        <f>D65+D38</f>
        <v>#REF!</v>
      </c>
      <c r="E66" s="775"/>
      <c r="F66" s="918">
        <f>F65+F38</f>
        <v>2753622.3138015871</v>
      </c>
      <c r="G66" s="775"/>
      <c r="H66" s="775"/>
      <c r="I66" s="112"/>
    </row>
    <row r="67" spans="1:22" s="293" customFormat="1" ht="15.75" x14ac:dyDescent="0.25">
      <c r="A67" s="291"/>
      <c r="B67" s="295"/>
      <c r="C67" s="769" t="s">
        <v>431</v>
      </c>
      <c r="D67" s="770">
        <f>SUM(D68:D69)</f>
        <v>261531.8097249039</v>
      </c>
      <c r="E67" s="771"/>
      <c r="F67" s="771">
        <f>SUM(F68:F69)</f>
        <v>275392.23136803682</v>
      </c>
      <c r="G67" s="770"/>
      <c r="H67" s="772"/>
      <c r="I67" s="769"/>
    </row>
    <row r="68" spans="1:22" s="293" customFormat="1" ht="30.6" customHeight="1" x14ac:dyDescent="0.25">
      <c r="A68" s="291"/>
      <c r="B68" s="295"/>
      <c r="C68" s="773" t="s">
        <v>434</v>
      </c>
      <c r="D68" s="697">
        <v>149446.74884280222</v>
      </c>
      <c r="E68" s="1034">
        <v>0.04</v>
      </c>
      <c r="F68" s="320">
        <v>137696.11568401841</v>
      </c>
      <c r="G68" s="697"/>
      <c r="H68" s="321">
        <f>(D68-F68)/D68</f>
        <v>7.8627559647643355E-2</v>
      </c>
      <c r="I68" s="1677" t="s">
        <v>508</v>
      </c>
    </row>
    <row r="69" spans="1:22" s="293" customFormat="1" ht="21" customHeight="1" x14ac:dyDescent="0.25">
      <c r="A69" s="294"/>
      <c r="B69" s="293" t="s">
        <v>256</v>
      </c>
      <c r="C69" s="4" t="s">
        <v>433</v>
      </c>
      <c r="D69" s="697">
        <v>112085.06088210168</v>
      </c>
      <c r="E69" s="1034">
        <v>0.03</v>
      </c>
      <c r="F69" s="320">
        <v>137696.11568401841</v>
      </c>
      <c r="G69" s="697"/>
      <c r="H69" s="321">
        <f>(D69-F69)/D69</f>
        <v>-0.22849659535677191</v>
      </c>
      <c r="I69" s="1678"/>
      <c r="S69" s="1041"/>
    </row>
    <row r="70" spans="1:22" s="293" customFormat="1" ht="15.6" customHeight="1" x14ac:dyDescent="0.25">
      <c r="A70" s="294"/>
      <c r="C70" s="788" t="s">
        <v>21</v>
      </c>
      <c r="D70" s="789">
        <f>SUM(D68:D69)</f>
        <v>261531.8097249039</v>
      </c>
      <c r="E70" s="790"/>
      <c r="F70" s="909">
        <f>SUM(F68:F69)</f>
        <v>275392.23136803682</v>
      </c>
      <c r="G70" s="790"/>
      <c r="H70" s="790"/>
      <c r="I70" s="112"/>
    </row>
    <row r="71" spans="1:22" s="293" customFormat="1" ht="16.5" thickBot="1" x14ac:dyDescent="0.3">
      <c r="A71" s="294"/>
      <c r="C71" s="791" t="s">
        <v>437</v>
      </c>
      <c r="D71" s="791" t="e">
        <f>(D66+D70)-0.0318</f>
        <v>#REF!</v>
      </c>
      <c r="E71" s="792"/>
      <c r="F71" s="919">
        <f>F66+F70</f>
        <v>3029014.545169624</v>
      </c>
      <c r="G71" s="296"/>
      <c r="H71" s="257"/>
      <c r="I71"/>
    </row>
    <row r="72" spans="1:22" s="293" customFormat="1" ht="33" customHeight="1" thickBot="1" x14ac:dyDescent="0.35">
      <c r="A72" s="294"/>
      <c r="C72" s="784" t="s">
        <v>248</v>
      </c>
      <c r="D72" s="795" t="e">
        <f>D71</f>
        <v>#REF!</v>
      </c>
      <c r="E72" s="7"/>
      <c r="F72" s="81">
        <f>F71</f>
        <v>3029014.545169624</v>
      </c>
      <c r="G72" s="7"/>
      <c r="H72" s="707"/>
      <c r="I72" s="257"/>
    </row>
    <row r="73" spans="1:22" ht="19.5" thickBot="1" x14ac:dyDescent="0.35">
      <c r="B73" s="784" t="s">
        <v>249</v>
      </c>
      <c r="C73" s="793">
        <v>0.1</v>
      </c>
      <c r="D73" s="794" t="e">
        <f>D72*10%</f>
        <v>#REF!</v>
      </c>
      <c r="E73" s="785"/>
      <c r="F73" s="785">
        <f>F72*0.1</f>
        <v>302901.4545169624</v>
      </c>
      <c r="G73" s="786"/>
      <c r="H73" s="787"/>
      <c r="I73" s="257"/>
    </row>
    <row r="74" spans="1:22" ht="23.45" customHeight="1" thickBot="1" x14ac:dyDescent="0.35">
      <c r="B74" s="784"/>
      <c r="C74" s="288" t="s">
        <v>246</v>
      </c>
      <c r="D74" s="783" t="e">
        <f>D72+D73</f>
        <v>#REF!</v>
      </c>
      <c r="E74" s="287"/>
      <c r="F74" s="940">
        <f>SUM(F72:F73)</f>
        <v>3331915.9996865867</v>
      </c>
      <c r="G74" s="286" t="e">
        <f>D74-F74</f>
        <v>#REF!</v>
      </c>
      <c r="H74" s="285" t="e">
        <f>(D74/F74)-1</f>
        <v>#REF!</v>
      </c>
      <c r="I74" s="257"/>
    </row>
    <row r="75" spans="1:22" x14ac:dyDescent="0.25">
      <c r="I75" s="257"/>
    </row>
    <row r="76" spans="1:22" x14ac:dyDescent="0.25">
      <c r="I76" s="257"/>
    </row>
  </sheetData>
  <mergeCells count="10">
    <mergeCell ref="I56:I58"/>
    <mergeCell ref="I60:I63"/>
    <mergeCell ref="I68:I69"/>
    <mergeCell ref="E6:E7"/>
    <mergeCell ref="C3:I4"/>
    <mergeCell ref="I11:I14"/>
    <mergeCell ref="I17:I24"/>
    <mergeCell ref="I30:I32"/>
    <mergeCell ref="I44:I45"/>
    <mergeCell ref="I46:I52"/>
  </mergeCells>
  <pageMargins left="0.70866141732283472" right="0.70866141732283472" top="0.74803149606299213" bottom="0.74803149606299213" header="0.31496062992125984" footer="0.31496062992125984"/>
  <pageSetup paperSize="8" scale="79" orientation="portrait" r:id="rId1"/>
  <customProperties>
    <customPr name="EpmWorksheetKeyString_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I189"/>
  <sheetViews>
    <sheetView topLeftCell="A160" zoomScaleNormal="100" workbookViewId="0">
      <selection activeCell="E177" sqref="E177"/>
    </sheetView>
  </sheetViews>
  <sheetFormatPr defaultColWidth="10.85546875" defaultRowHeight="15" x14ac:dyDescent="0.25"/>
  <cols>
    <col min="1" max="1" width="74.5703125" style="216" customWidth="1"/>
    <col min="2" max="2" width="13.28515625" bestFit="1" customWidth="1"/>
    <col min="3" max="3" width="9.140625" customWidth="1"/>
    <col min="4" max="4" width="14.7109375" customWidth="1"/>
    <col min="5" max="5" width="15.7109375" bestFit="1" customWidth="1"/>
    <col min="6" max="6" width="15.28515625" customWidth="1"/>
    <col min="7" max="7" width="14.140625" bestFit="1" customWidth="1"/>
    <col min="8" max="8" width="11.7109375" bestFit="1" customWidth="1"/>
    <col min="9" max="9" width="14" bestFit="1" customWidth="1"/>
    <col min="10" max="11" width="15.7109375" customWidth="1"/>
    <col min="12" max="12" width="18" customWidth="1"/>
    <col min="13" max="13" width="13.5703125" bestFit="1" customWidth="1"/>
    <col min="14" max="14" width="15.140625" hidden="1" customWidth="1"/>
    <col min="15" max="15" width="14.7109375" hidden="1" customWidth="1"/>
    <col min="16" max="16" width="9.28515625" hidden="1" customWidth="1"/>
    <col min="17" max="17" width="16.5703125" customWidth="1"/>
    <col min="18" max="18" width="15.7109375" customWidth="1"/>
    <col min="19" max="19" width="36.28515625" customWidth="1"/>
    <col min="20" max="20" width="18" style="2" hidden="1" customWidth="1"/>
    <col min="21" max="21" width="16.140625" style="2" hidden="1" customWidth="1"/>
    <col min="22" max="22" width="19.28515625" hidden="1" customWidth="1"/>
    <col min="23" max="23" width="7.42578125" hidden="1" customWidth="1"/>
    <col min="24" max="24" width="11" hidden="1" customWidth="1"/>
    <col min="25" max="25" width="10.28515625" hidden="1" customWidth="1"/>
    <col min="26" max="26" width="13.85546875" hidden="1" customWidth="1"/>
    <col min="27" max="27" width="7.42578125" hidden="1" customWidth="1"/>
    <col min="28" max="28" width="13.5703125" hidden="1" customWidth="1"/>
    <col min="29" max="29" width="13.28515625" hidden="1" customWidth="1"/>
    <col min="30" max="31" width="10.85546875" customWidth="1"/>
    <col min="32" max="32" width="12.42578125" customWidth="1"/>
    <col min="33" max="33" width="13.28515625" customWidth="1"/>
    <col min="34" max="51" width="10.85546875" customWidth="1"/>
  </cols>
  <sheetData>
    <row r="1" spans="1:25" ht="18.75" x14ac:dyDescent="0.25">
      <c r="A1" s="1692" t="s">
        <v>586</v>
      </c>
      <c r="B1" s="1692"/>
      <c r="C1" s="1692"/>
      <c r="D1" s="1692"/>
      <c r="E1" s="1692"/>
      <c r="F1" s="1692"/>
      <c r="G1" s="1692"/>
      <c r="H1" s="1692"/>
      <c r="I1" s="1692"/>
      <c r="J1" s="1692"/>
      <c r="K1" s="1692"/>
      <c r="L1" s="1692"/>
      <c r="M1" s="1692"/>
      <c r="N1" s="1692"/>
      <c r="O1" s="1692"/>
      <c r="P1" s="1692"/>
      <c r="Q1" s="1692"/>
      <c r="R1" s="1692"/>
      <c r="S1" s="1692"/>
      <c r="T1" s="1692"/>
      <c r="U1" s="1692"/>
      <c r="V1" s="425"/>
      <c r="X1" s="202"/>
      <c r="Y1" s="202"/>
    </row>
    <row r="2" spans="1:25" x14ac:dyDescent="0.25">
      <c r="X2" s="202"/>
      <c r="Y2" s="202"/>
    </row>
    <row r="3" spans="1:25" ht="15.75" x14ac:dyDescent="0.25">
      <c r="A3" s="1693" t="s">
        <v>0</v>
      </c>
      <c r="B3" s="1693"/>
      <c r="C3" s="1693"/>
      <c r="D3" s="1693"/>
      <c r="E3" s="1693"/>
      <c r="F3" s="1693"/>
      <c r="G3" s="1693"/>
      <c r="H3" s="1693"/>
      <c r="I3" s="1693"/>
      <c r="J3" s="1693"/>
      <c r="K3" s="1693"/>
      <c r="L3" s="1693"/>
      <c r="M3" s="1693"/>
      <c r="N3" s="1693"/>
      <c r="O3" s="1693"/>
      <c r="P3" s="1693"/>
      <c r="Q3" s="1693"/>
      <c r="R3" s="1693"/>
      <c r="S3" s="1693"/>
      <c r="T3" s="1693"/>
      <c r="U3" s="1693"/>
    </row>
    <row r="4" spans="1:25" ht="16.5" x14ac:dyDescent="0.25">
      <c r="A4" s="1694" t="s">
        <v>1</v>
      </c>
      <c r="B4" s="1694"/>
      <c r="C4" s="1694"/>
      <c r="D4" s="1694"/>
      <c r="E4" s="1694"/>
      <c r="F4" s="1694"/>
      <c r="G4" s="1694"/>
      <c r="H4" s="1694"/>
      <c r="I4" s="1694"/>
      <c r="J4" s="1694"/>
      <c r="K4" s="1694"/>
      <c r="L4" s="1694"/>
      <c r="M4" s="1694"/>
      <c r="N4" s="1694"/>
      <c r="O4" s="1694"/>
      <c r="P4" s="1694"/>
      <c r="Q4" s="1694"/>
      <c r="R4" s="1694"/>
      <c r="S4" s="1694"/>
      <c r="T4" s="1694"/>
      <c r="U4" s="1694"/>
    </row>
    <row r="6" spans="1:25" x14ac:dyDescent="0.25">
      <c r="C6" t="s">
        <v>291</v>
      </c>
      <c r="D6" s="382">
        <v>46388</v>
      </c>
      <c r="E6" t="s">
        <v>566</v>
      </c>
      <c r="G6" s="21"/>
      <c r="H6" s="21"/>
      <c r="I6" s="559">
        <f>(G8*H7)/G7</f>
        <v>0.36083333333333334</v>
      </c>
      <c r="J6" s="21">
        <v>1226.83</v>
      </c>
      <c r="K6" s="21">
        <v>4.33</v>
      </c>
      <c r="L6" s="21"/>
      <c r="M6" s="21"/>
      <c r="N6" s="21"/>
      <c r="O6" s="21"/>
      <c r="P6" s="21"/>
      <c r="Q6" s="21"/>
      <c r="R6" s="21"/>
      <c r="S6" s="21"/>
      <c r="T6" s="21"/>
    </row>
    <row r="7" spans="1:25" ht="18" x14ac:dyDescent="0.25">
      <c r="A7" s="244"/>
      <c r="G7" s="21">
        <v>12</v>
      </c>
      <c r="H7" s="21">
        <v>1</v>
      </c>
      <c r="I7" s="21"/>
      <c r="J7" s="21"/>
      <c r="K7" s="560"/>
      <c r="L7" s="21"/>
      <c r="M7" s="21"/>
      <c r="N7" s="21"/>
      <c r="O7" s="21">
        <v>10705.41</v>
      </c>
      <c r="P7" s="21">
        <f>O7*75%</f>
        <v>8029.0574999999999</v>
      </c>
      <c r="Q7" s="565">
        <f>P7/12</f>
        <v>669.08812499999999</v>
      </c>
      <c r="R7" s="21"/>
      <c r="S7" s="21"/>
      <c r="T7" s="21"/>
    </row>
    <row r="8" spans="1:25" x14ac:dyDescent="0.25">
      <c r="G8" s="21">
        <v>4.33</v>
      </c>
      <c r="H8" s="806"/>
      <c r="I8" s="21"/>
      <c r="J8" s="21"/>
      <c r="K8" s="21"/>
      <c r="L8" s="21"/>
      <c r="M8" s="21"/>
      <c r="N8" s="21"/>
      <c r="O8" s="561"/>
      <c r="P8" s="21"/>
      <c r="Q8" s="21"/>
      <c r="R8" s="21"/>
      <c r="S8" s="21"/>
      <c r="T8" s="21"/>
    </row>
    <row r="9" spans="1:25" x14ac:dyDescent="0.25">
      <c r="A9" s="217" t="s">
        <v>24</v>
      </c>
      <c r="B9" s="204">
        <v>225</v>
      </c>
      <c r="C9" s="9" t="s">
        <v>2</v>
      </c>
      <c r="D9" s="10"/>
      <c r="E9" s="10"/>
      <c r="F9" s="11"/>
      <c r="G9" s="21"/>
      <c r="H9" s="21">
        <v>1700</v>
      </c>
      <c r="I9" s="562">
        <v>57095.5</v>
      </c>
      <c r="J9" s="21"/>
      <c r="K9" s="562"/>
      <c r="L9" s="563"/>
      <c r="M9" s="562"/>
      <c r="N9" s="562">
        <f>I9/12</f>
        <v>4757.958333333333</v>
      </c>
      <c r="O9" s="561"/>
      <c r="P9" s="21">
        <f>P7/12</f>
        <v>669.08812499999999</v>
      </c>
      <c r="Q9" s="21"/>
      <c r="R9" s="21"/>
      <c r="S9" s="21"/>
      <c r="T9" s="21"/>
      <c r="U9" s="949"/>
    </row>
    <row r="10" spans="1:25" ht="15.75" thickBot="1" x14ac:dyDescent="0.3">
      <c r="A10" s="218" t="s">
        <v>3</v>
      </c>
      <c r="B10" s="205">
        <v>1701</v>
      </c>
      <c r="C10" s="6" t="s">
        <v>4</v>
      </c>
      <c r="F10" s="12"/>
      <c r="G10" s="21"/>
      <c r="H10" s="562"/>
      <c r="I10" s="567"/>
      <c r="J10" s="561"/>
      <c r="K10" s="21"/>
      <c r="L10" s="564"/>
      <c r="M10" s="565"/>
      <c r="N10" s="565">
        <f>1700/12</f>
        <v>141.66666666666666</v>
      </c>
      <c r="O10" s="561"/>
      <c r="P10" s="21"/>
      <c r="Q10" s="21"/>
      <c r="R10" s="21"/>
      <c r="S10" s="21"/>
      <c r="T10" s="21"/>
    </row>
    <row r="11" spans="1:25" ht="15.75" thickBot="1" x14ac:dyDescent="0.3">
      <c r="A11" s="219"/>
      <c r="B11" s="14"/>
      <c r="C11" s="13"/>
      <c r="D11" s="15"/>
      <c r="E11" s="15"/>
      <c r="F11" s="14"/>
      <c r="G11" s="21"/>
      <c r="H11" s="567"/>
      <c r="I11" s="562">
        <f>33.59*75%</f>
        <v>25.192500000000003</v>
      </c>
      <c r="J11" s="561"/>
      <c r="K11" s="562"/>
      <c r="L11" s="563"/>
      <c r="M11" s="21"/>
      <c r="N11" s="880">
        <f>N9/N10</f>
        <v>33.585588235294118</v>
      </c>
      <c r="O11" s="561">
        <f>N11*75%</f>
        <v>25.189191176470587</v>
      </c>
      <c r="P11" s="21"/>
      <c r="Q11" s="21"/>
      <c r="R11" s="21"/>
      <c r="S11" s="21"/>
      <c r="T11" s="21"/>
    </row>
    <row r="12" spans="1:25" x14ac:dyDescent="0.25">
      <c r="A12" s="220" t="s">
        <v>25</v>
      </c>
      <c r="B12" s="16">
        <v>0.32600000000000001</v>
      </c>
      <c r="C12" s="6" t="s">
        <v>671</v>
      </c>
      <c r="F12" s="12"/>
      <c r="G12" s="21"/>
      <c r="H12" s="562">
        <f>(H9*I10)/I9</f>
        <v>0</v>
      </c>
      <c r="I12" s="562"/>
      <c r="J12" s="562"/>
      <c r="K12" s="21"/>
      <c r="L12" s="562"/>
      <c r="M12" s="21"/>
      <c r="N12" s="21"/>
      <c r="O12" s="569"/>
      <c r="P12" s="21"/>
      <c r="Q12" s="21"/>
      <c r="R12" s="21"/>
      <c r="S12" s="21"/>
      <c r="T12" s="21"/>
      <c r="U12" s="949"/>
    </row>
    <row r="13" spans="1:25" x14ac:dyDescent="0.25">
      <c r="A13" s="217" t="s">
        <v>5</v>
      </c>
      <c r="B13" s="858">
        <v>0.11650000000000001</v>
      </c>
      <c r="C13" s="6" t="s">
        <v>420</v>
      </c>
      <c r="F13" s="12"/>
      <c r="G13" s="21"/>
      <c r="H13" s="21"/>
      <c r="I13" s="21"/>
      <c r="J13" s="21"/>
      <c r="K13" s="21"/>
      <c r="L13" s="21"/>
      <c r="M13" s="21"/>
      <c r="N13" s="21"/>
      <c r="O13" s="561"/>
      <c r="P13" s="21"/>
      <c r="Q13" s="21"/>
      <c r="R13" s="21"/>
      <c r="S13" s="21"/>
      <c r="T13" s="21"/>
      <c r="U13" s="949"/>
    </row>
    <row r="14" spans="1:25" x14ac:dyDescent="0.25">
      <c r="A14" s="217" t="s">
        <v>6</v>
      </c>
      <c r="B14" s="858">
        <v>0.02</v>
      </c>
      <c r="C14" s="6" t="s">
        <v>7</v>
      </c>
      <c r="F14" s="12"/>
      <c r="G14" s="21"/>
      <c r="H14" s="21"/>
      <c r="I14" s="562">
        <f>F51*0.2</f>
        <v>340.20000000000005</v>
      </c>
      <c r="J14" s="21"/>
      <c r="K14" s="21"/>
      <c r="L14" s="21"/>
      <c r="M14" s="21"/>
      <c r="N14" s="561"/>
      <c r="O14" s="21"/>
      <c r="P14" s="561"/>
      <c r="Q14" s="561">
        <f>N37+N37</f>
        <v>85025.338000000018</v>
      </c>
      <c r="R14" s="561"/>
      <c r="S14" s="21">
        <f>S15-U15</f>
        <v>182200.39112079737</v>
      </c>
      <c r="T14" s="806"/>
      <c r="U14" s="1431"/>
    </row>
    <row r="15" spans="1:25" x14ac:dyDescent="0.25">
      <c r="A15" s="217" t="s">
        <v>672</v>
      </c>
      <c r="B15" s="877">
        <v>0.03</v>
      </c>
      <c r="C15" s="23" t="s">
        <v>673</v>
      </c>
      <c r="D15" s="24"/>
      <c r="E15" s="24"/>
      <c r="F15" s="25"/>
      <c r="G15" s="21"/>
      <c r="H15" s="21"/>
      <c r="I15" s="21"/>
      <c r="J15" s="21"/>
      <c r="K15" s="21"/>
      <c r="L15" s="21"/>
      <c r="M15" s="21"/>
      <c r="N15" s="561"/>
      <c r="O15" s="565"/>
      <c r="P15" s="21"/>
      <c r="Q15" s="561" t="e">
        <f>#REF!+44235.96</f>
        <v>#REF!</v>
      </c>
      <c r="R15" s="561" t="e">
        <f>Q15/2</f>
        <v>#REF!</v>
      </c>
      <c r="S15" s="21">
        <v>182200.39112079737</v>
      </c>
      <c r="T15" s="806"/>
      <c r="U15" s="21"/>
    </row>
    <row r="16" spans="1:25" x14ac:dyDescent="0.25">
      <c r="H16" s="846"/>
      <c r="I16" s="846"/>
      <c r="J16" s="846"/>
      <c r="K16" s="846"/>
      <c r="L16" s="846"/>
      <c r="M16" s="846"/>
      <c r="N16" s="846"/>
      <c r="O16" s="846"/>
      <c r="P16" s="846"/>
      <c r="Q16" s="847" t="e">
        <f>SUM(Q14:Q15)</f>
        <v>#REF!</v>
      </c>
      <c r="R16" s="846"/>
      <c r="T16" s="660"/>
    </row>
    <row r="17" spans="1:80" ht="15.75" thickBot="1" x14ac:dyDescent="0.3">
      <c r="T17" s="660"/>
    </row>
    <row r="18" spans="1:80" ht="57.6" customHeight="1" thickBot="1" x14ac:dyDescent="0.3">
      <c r="A18" s="221" t="s">
        <v>10</v>
      </c>
      <c r="B18" s="26" t="s">
        <v>27</v>
      </c>
      <c r="C18" s="27" t="s">
        <v>11</v>
      </c>
      <c r="D18" s="27" t="s">
        <v>12</v>
      </c>
      <c r="E18" s="27" t="s">
        <v>13</v>
      </c>
      <c r="F18" s="26" t="s">
        <v>28</v>
      </c>
      <c r="G18" s="26" t="s">
        <v>29</v>
      </c>
      <c r="H18" s="26" t="s">
        <v>299</v>
      </c>
      <c r="I18" s="26" t="s">
        <v>242</v>
      </c>
      <c r="J18" s="26" t="s">
        <v>30</v>
      </c>
      <c r="K18" s="26" t="s">
        <v>31</v>
      </c>
      <c r="L18" s="28" t="s">
        <v>32</v>
      </c>
      <c r="M18" s="27" t="s">
        <v>14</v>
      </c>
      <c r="N18" s="26" t="s">
        <v>421</v>
      </c>
      <c r="O18" s="26" t="s">
        <v>423</v>
      </c>
      <c r="P18" s="693" t="s">
        <v>422</v>
      </c>
      <c r="Q18" s="695" t="s">
        <v>474</v>
      </c>
      <c r="R18" s="695" t="s">
        <v>425</v>
      </c>
      <c r="S18" s="30" t="s">
        <v>35</v>
      </c>
      <c r="T18" s="650"/>
      <c r="V18" s="947" t="s">
        <v>36</v>
      </c>
      <c r="W18" s="947" t="s">
        <v>37</v>
      </c>
      <c r="X18" s="947" t="s">
        <v>656</v>
      </c>
      <c r="Y18" s="947" t="s">
        <v>657</v>
      </c>
      <c r="Z18" s="947" t="s">
        <v>658</v>
      </c>
      <c r="AA18" s="947" t="s">
        <v>659</v>
      </c>
      <c r="AB18" s="947" t="s">
        <v>660</v>
      </c>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row>
    <row r="19" spans="1:80" ht="30" customHeight="1" thickBot="1" x14ac:dyDescent="0.3">
      <c r="A19" s="222" t="s">
        <v>41</v>
      </c>
      <c r="B19" s="34"/>
      <c r="C19" s="34"/>
      <c r="D19" s="34"/>
      <c r="E19" s="35"/>
      <c r="F19" s="34"/>
      <c r="G19" s="34"/>
      <c r="H19" s="34"/>
      <c r="I19" s="34"/>
      <c r="J19" s="34"/>
      <c r="K19" s="34"/>
      <c r="L19" s="34"/>
      <c r="M19" s="34"/>
      <c r="N19" s="34"/>
      <c r="O19" s="34"/>
      <c r="P19" s="692"/>
      <c r="Q19" s="692"/>
      <c r="R19" s="692"/>
      <c r="S19" s="35" t="s">
        <v>42</v>
      </c>
      <c r="T19" s="651"/>
      <c r="V19" s="7"/>
      <c r="W19" s="7"/>
      <c r="X19" s="7"/>
      <c r="Y19" s="7"/>
      <c r="Z19" s="7"/>
      <c r="AA19" s="365"/>
      <c r="AB19" s="4"/>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row>
    <row r="20" spans="1:80" s="1186" customFormat="1" ht="30" customHeight="1" thickBot="1" x14ac:dyDescent="0.3">
      <c r="A20" s="1182" t="s">
        <v>621</v>
      </c>
      <c r="B20" s="1183"/>
      <c r="C20" s="1183"/>
      <c r="D20" s="1183"/>
      <c r="E20" s="1184"/>
      <c r="F20" s="1238">
        <f>F21+F28+F36+F43</f>
        <v>15309</v>
      </c>
      <c r="G20" s="1239"/>
      <c r="H20" s="1183"/>
      <c r="I20" s="1183"/>
      <c r="J20" s="1183"/>
      <c r="K20" s="1183"/>
      <c r="L20" s="1183"/>
      <c r="M20" s="1183" t="s">
        <v>628</v>
      </c>
      <c r="N20" s="1183"/>
      <c r="O20" s="1183"/>
      <c r="P20" s="1185"/>
      <c r="Q20" s="1447">
        <f>Q21+Q28+Q36+Q43</f>
        <v>385273.54494720168</v>
      </c>
      <c r="R20" s="1448">
        <f>R21+R28+R36+R43</f>
        <v>125599.17565278776</v>
      </c>
      <c r="S20" s="1446">
        <f>S21+S28+S36+S43</f>
        <v>510872.72059998935</v>
      </c>
      <c r="T20" s="651"/>
      <c r="U20" s="2"/>
      <c r="V20" s="1187"/>
      <c r="W20" s="1187"/>
      <c r="X20" s="1187"/>
      <c r="Y20" s="1187"/>
      <c r="Z20" s="1187"/>
      <c r="AA20" s="1368"/>
      <c r="AB20" s="1368"/>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row>
    <row r="21" spans="1:80" ht="21.75" customHeight="1" thickBot="1" x14ac:dyDescent="0.3">
      <c r="A21" s="1084" t="s">
        <v>66</v>
      </c>
      <c r="B21" s="1085"/>
      <c r="C21" s="1086"/>
      <c r="D21" s="1085"/>
      <c r="E21" s="1087"/>
      <c r="F21" s="1198">
        <v>1701</v>
      </c>
      <c r="G21" s="1240">
        <v>1</v>
      </c>
      <c r="H21" s="1088"/>
      <c r="I21" s="1088"/>
      <c r="J21" s="1089"/>
      <c r="K21" s="1089"/>
      <c r="L21" s="1090"/>
      <c r="M21" s="1197">
        <f>M22+M23+M24+M25+M26+M27</f>
        <v>52242.6</v>
      </c>
      <c r="N21" s="1091"/>
      <c r="O21" s="1092"/>
      <c r="P21" s="1093"/>
      <c r="Q21" s="1449">
        <f>SUM(Q22:Q27)</f>
        <v>52242.6</v>
      </c>
      <c r="R21" s="1449">
        <f>SUM(R22:R27)</f>
        <v>17031.087599999999</v>
      </c>
      <c r="S21" s="1450">
        <f>SUM(S22:S27)</f>
        <v>69273.68759999999</v>
      </c>
      <c r="T21" s="652">
        <f>S21</f>
        <v>69273.68759999999</v>
      </c>
      <c r="V21" s="1150"/>
      <c r="W21" s="7"/>
      <c r="X21" s="7"/>
      <c r="Y21" s="7"/>
      <c r="Z21" s="7"/>
      <c r="AA21" s="365"/>
      <c r="AB21" s="4"/>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row>
    <row r="22" spans="1:80" ht="21.75" customHeight="1" x14ac:dyDescent="0.25">
      <c r="A22" s="223" t="s">
        <v>294</v>
      </c>
      <c r="B22" s="38"/>
      <c r="C22" s="39" t="s">
        <v>571</v>
      </c>
      <c r="D22" s="38">
        <f>F22/225</f>
        <v>7.56</v>
      </c>
      <c r="E22" s="40">
        <v>37.799999999999997</v>
      </c>
      <c r="F22" s="1194">
        <v>1701</v>
      </c>
      <c r="G22" s="1241">
        <v>1</v>
      </c>
      <c r="H22" s="41">
        <v>38432</v>
      </c>
      <c r="I22" s="41"/>
      <c r="J22" s="42"/>
      <c r="K22" s="42"/>
      <c r="L22" s="43"/>
      <c r="M22" s="268">
        <f>H22</f>
        <v>38432</v>
      </c>
      <c r="N22" s="667">
        <f>M25+M24+M23+M22</f>
        <v>48626.32</v>
      </c>
      <c r="O22" s="668" t="e">
        <f>IF(#REF!&gt;N22,#REF!,N22)</f>
        <v>#REF!</v>
      </c>
      <c r="P22" s="684"/>
      <c r="Q22" s="1064">
        <f>M22</f>
        <v>38432</v>
      </c>
      <c r="R22" s="1065">
        <f>Q22*$B$12</f>
        <v>12528.832</v>
      </c>
      <c r="S22" s="1069">
        <f>Q22+R22</f>
        <v>50960.832000000002</v>
      </c>
      <c r="T22" s="492"/>
      <c r="U22" s="660"/>
      <c r="V22" s="160">
        <f t="shared" ref="V22:V27" si="0">S22</f>
        <v>50960.832000000002</v>
      </c>
      <c r="W22" s="7"/>
      <c r="X22" s="7"/>
      <c r="Y22" s="7"/>
      <c r="Z22" s="7"/>
      <c r="AA22" s="365"/>
      <c r="AB22" s="4"/>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row>
    <row r="23" spans="1:80" ht="21" customHeight="1" x14ac:dyDescent="0.25">
      <c r="A23" s="1208" t="s">
        <v>293</v>
      </c>
      <c r="B23" s="38"/>
      <c r="C23" s="39" t="s">
        <v>16</v>
      </c>
      <c r="D23" s="38"/>
      <c r="E23" s="40"/>
      <c r="F23" s="38">
        <f>F22/2</f>
        <v>850.5</v>
      </c>
      <c r="G23" s="1241">
        <v>1</v>
      </c>
      <c r="H23" s="415">
        <f>(H22/1701)*10%</f>
        <v>2.259376837154615</v>
      </c>
      <c r="I23" s="428">
        <v>0.5</v>
      </c>
      <c r="J23" s="42"/>
      <c r="K23" s="42"/>
      <c r="L23" s="43"/>
      <c r="M23" s="268">
        <f>H23*F23</f>
        <v>1921.6000000000001</v>
      </c>
      <c r="N23" s="673"/>
      <c r="O23" s="676"/>
      <c r="P23" s="44"/>
      <c r="Q23" s="1066">
        <f t="shared" ref="Q23:Q26" si="1">M23</f>
        <v>1921.6000000000001</v>
      </c>
      <c r="R23" s="1065">
        <f t="shared" ref="R23:R27" si="2">Q23*$B$12</f>
        <v>626.44160000000011</v>
      </c>
      <c r="S23" s="1069">
        <f t="shared" ref="S23:S27" si="3">Q23+R23</f>
        <v>2548.0416000000005</v>
      </c>
      <c r="T23" s="492"/>
      <c r="V23" s="160">
        <f t="shared" si="0"/>
        <v>2548.0416000000005</v>
      </c>
      <c r="W23" s="7"/>
      <c r="X23" s="7"/>
      <c r="Y23" s="7"/>
      <c r="Z23" s="7"/>
      <c r="AA23" s="365"/>
      <c r="AB23" s="7"/>
    </row>
    <row r="24" spans="1:80" ht="15.95" customHeight="1" x14ac:dyDescent="0.25">
      <c r="A24" s="1208" t="s">
        <v>292</v>
      </c>
      <c r="B24" s="38"/>
      <c r="C24" s="39"/>
      <c r="D24" s="38">
        <f>D21*0.25</f>
        <v>0</v>
      </c>
      <c r="E24" s="40">
        <f>E21*0.25</f>
        <v>0</v>
      </c>
      <c r="F24" s="38">
        <f>F22*I24</f>
        <v>850.5</v>
      </c>
      <c r="G24" s="1241">
        <v>1</v>
      </c>
      <c r="H24" s="415">
        <f>(H22/1701)*25%</f>
        <v>5.6484420928865378</v>
      </c>
      <c r="I24" s="428">
        <v>0.5</v>
      </c>
      <c r="J24" s="42"/>
      <c r="K24" s="42"/>
      <c r="L24" s="43"/>
      <c r="M24" s="268">
        <f>F24*H24</f>
        <v>4804</v>
      </c>
      <c r="N24" s="673"/>
      <c r="O24" s="676"/>
      <c r="P24" s="44"/>
      <c r="Q24" s="1066">
        <f t="shared" si="1"/>
        <v>4804</v>
      </c>
      <c r="R24" s="1065">
        <f t="shared" si="2"/>
        <v>1566.104</v>
      </c>
      <c r="S24" s="1069">
        <f t="shared" si="3"/>
        <v>6370.1040000000003</v>
      </c>
      <c r="T24" s="492"/>
      <c r="U24" s="660"/>
      <c r="V24" s="160">
        <f t="shared" si="0"/>
        <v>6370.1040000000003</v>
      </c>
      <c r="W24" s="7"/>
      <c r="X24" s="7"/>
      <c r="Y24" s="7"/>
      <c r="Z24" s="7"/>
      <c r="AA24" s="365"/>
      <c r="AB24" s="7"/>
    </row>
    <row r="25" spans="1:80" ht="15.95" customHeight="1" x14ac:dyDescent="0.25">
      <c r="A25" s="1208" t="s">
        <v>318</v>
      </c>
      <c r="B25" s="38"/>
      <c r="C25" s="39"/>
      <c r="D25" s="38"/>
      <c r="E25" s="40"/>
      <c r="F25" s="38">
        <v>12</v>
      </c>
      <c r="G25" s="1241">
        <v>1</v>
      </c>
      <c r="H25" s="415">
        <v>289.06</v>
      </c>
      <c r="I25" s="428"/>
      <c r="J25" s="42"/>
      <c r="K25" s="42"/>
      <c r="L25" s="43"/>
      <c r="M25" s="268">
        <f>F25*H25</f>
        <v>3468.7200000000003</v>
      </c>
      <c r="N25" s="673"/>
      <c r="O25" s="676"/>
      <c r="P25" s="44"/>
      <c r="Q25" s="1066">
        <f t="shared" si="1"/>
        <v>3468.7200000000003</v>
      </c>
      <c r="R25" s="1065">
        <f t="shared" si="2"/>
        <v>1130.8027200000001</v>
      </c>
      <c r="S25" s="1069">
        <f t="shared" si="3"/>
        <v>4599.5227200000008</v>
      </c>
      <c r="T25" s="492"/>
      <c r="U25" s="660"/>
      <c r="V25" s="160">
        <f t="shared" si="0"/>
        <v>4599.5227200000008</v>
      </c>
      <c r="W25" s="7"/>
      <c r="X25" s="7"/>
      <c r="Y25" s="7"/>
      <c r="Z25" s="7"/>
      <c r="AA25" s="365"/>
      <c r="AB25" s="7"/>
    </row>
    <row r="26" spans="1:80" ht="15.95" customHeight="1" x14ac:dyDescent="0.25">
      <c r="A26" s="1209" t="s">
        <v>570</v>
      </c>
      <c r="B26" s="47"/>
      <c r="C26" s="48"/>
      <c r="D26" s="47"/>
      <c r="E26" s="49"/>
      <c r="F26" s="47">
        <v>911.4</v>
      </c>
      <c r="G26" s="1248">
        <v>1</v>
      </c>
      <c r="H26" s="1429"/>
      <c r="I26" s="1237"/>
      <c r="J26" s="50"/>
      <c r="K26" s="50"/>
      <c r="L26" s="51"/>
      <c r="M26" s="269">
        <f>F26*G26</f>
        <v>911.4</v>
      </c>
      <c r="N26" s="675"/>
      <c r="O26" s="1219"/>
      <c r="P26" s="247"/>
      <c r="Q26" s="1169">
        <f t="shared" si="1"/>
        <v>911.4</v>
      </c>
      <c r="R26" s="1065">
        <f t="shared" si="2"/>
        <v>297.1164</v>
      </c>
      <c r="S26" s="1069">
        <f t="shared" si="3"/>
        <v>1208.5164</v>
      </c>
      <c r="T26" s="492"/>
      <c r="U26" s="660"/>
      <c r="V26" s="160">
        <f t="shared" si="0"/>
        <v>1208.5164</v>
      </c>
      <c r="W26" s="7"/>
      <c r="X26" s="7"/>
      <c r="Y26" s="7"/>
      <c r="Z26" s="7"/>
      <c r="AA26" s="365"/>
      <c r="AB26" s="7"/>
    </row>
    <row r="27" spans="1:80" ht="20.25" customHeight="1" thickBot="1" x14ac:dyDescent="0.3">
      <c r="A27" s="1435" t="s">
        <v>632</v>
      </c>
      <c r="B27" s="1436"/>
      <c r="C27" s="1437"/>
      <c r="D27" s="1436"/>
      <c r="E27" s="1438"/>
      <c r="F27" s="1436"/>
      <c r="G27" s="1439"/>
      <c r="H27" s="1440"/>
      <c r="I27" s="1441"/>
      <c r="J27" s="1442"/>
      <c r="K27" s="1442"/>
      <c r="L27" s="670"/>
      <c r="M27" s="675">
        <f>52242.6-SUM(M22:M26)</f>
        <v>2704.8799999999974</v>
      </c>
      <c r="N27" s="675"/>
      <c r="O27" s="1219"/>
      <c r="P27" s="1443"/>
      <c r="Q27" s="1444">
        <f>M27</f>
        <v>2704.8799999999974</v>
      </c>
      <c r="R27" s="1065">
        <f t="shared" si="2"/>
        <v>881.79087999999922</v>
      </c>
      <c r="S27" s="1069">
        <f t="shared" si="3"/>
        <v>3586.6708799999965</v>
      </c>
      <c r="T27" s="492"/>
      <c r="U27" s="660"/>
      <c r="V27" s="1362">
        <f t="shared" si="0"/>
        <v>3586.6708799999965</v>
      </c>
      <c r="W27" s="7"/>
      <c r="X27" s="7"/>
      <c r="Y27" s="7"/>
      <c r="Z27" s="7"/>
      <c r="AA27" s="365"/>
      <c r="AB27" s="7"/>
    </row>
    <row r="28" spans="1:80" ht="15.95" customHeight="1" thickBot="1" x14ac:dyDescent="0.3">
      <c r="A28" s="1327" t="s">
        <v>578</v>
      </c>
      <c r="B28" s="1328"/>
      <c r="C28" s="1329"/>
      <c r="D28" s="1328"/>
      <c r="E28" s="1330"/>
      <c r="F28" s="1331">
        <v>1701</v>
      </c>
      <c r="G28" s="1332">
        <v>1</v>
      </c>
      <c r="H28" s="1333"/>
      <c r="I28" s="1333"/>
      <c r="J28" s="1424"/>
      <c r="K28" s="1424"/>
      <c r="L28" s="1425"/>
      <c r="M28" s="1426">
        <f>SUM(M29:M35)</f>
        <v>46629.595500000003</v>
      </c>
      <c r="N28" s="1426"/>
      <c r="O28" s="1427"/>
      <c r="P28" s="1428"/>
      <c r="Q28" s="1211">
        <f>SUM(Q29:Q35)</f>
        <v>46629.595500000003</v>
      </c>
      <c r="R28" s="1211">
        <f>SUM(R29:R35)</f>
        <v>15201.248133000001</v>
      </c>
      <c r="S28" s="1094">
        <f>SUM(S29:S35)</f>
        <v>61830.843633000011</v>
      </c>
      <c r="T28" s="492">
        <f>S28</f>
        <v>61830.843633000011</v>
      </c>
      <c r="U28" s="660"/>
      <c r="V28" s="1516">
        <f>SUM(V22:V27)</f>
        <v>69273.68759999999</v>
      </c>
      <c r="W28" s="7"/>
      <c r="X28" s="7"/>
      <c r="Y28" s="7"/>
      <c r="Z28" s="7"/>
      <c r="AA28" s="365"/>
      <c r="AB28" s="7"/>
    </row>
    <row r="29" spans="1:80" ht="15.95" customHeight="1" x14ac:dyDescent="0.25">
      <c r="A29" s="1058" t="s">
        <v>579</v>
      </c>
      <c r="B29" s="1075"/>
      <c r="C29" s="1076"/>
      <c r="D29" s="1075"/>
      <c r="E29" s="1077"/>
      <c r="F29" s="1075">
        <v>1701</v>
      </c>
      <c r="G29" s="1243">
        <f>F29/$B$10</f>
        <v>1</v>
      </c>
      <c r="H29" s="1078">
        <v>33951.26</v>
      </c>
      <c r="I29" s="1079"/>
      <c r="J29" s="1080"/>
      <c r="K29" s="1080"/>
      <c r="L29" s="1056"/>
      <c r="M29" s="410">
        <f>H29</f>
        <v>33951.26</v>
      </c>
      <c r="N29" s="410"/>
      <c r="O29" s="412"/>
      <c r="P29" s="1081"/>
      <c r="Q29" s="1082">
        <f t="shared" ref="Q29:Q34" si="4">G29*M29</f>
        <v>33951.26</v>
      </c>
      <c r="R29" s="1083">
        <f>Q29*$B$12</f>
        <v>11068.110760000001</v>
      </c>
      <c r="S29" s="1069">
        <f>Q29+R29</f>
        <v>45019.370760000005</v>
      </c>
      <c r="T29" s="492"/>
      <c r="U29" s="660"/>
      <c r="V29" s="160">
        <f t="shared" ref="V29:V35" si="5">S29</f>
        <v>45019.370760000005</v>
      </c>
      <c r="W29" s="7"/>
      <c r="X29" s="7"/>
      <c r="Y29" s="7"/>
      <c r="Z29" s="7"/>
      <c r="AA29" s="365"/>
      <c r="AB29" s="7"/>
    </row>
    <row r="30" spans="1:80" ht="15.95" customHeight="1" x14ac:dyDescent="0.25">
      <c r="A30" s="1209" t="s">
        <v>293</v>
      </c>
      <c r="B30" s="736"/>
      <c r="C30" s="737"/>
      <c r="D30" s="736"/>
      <c r="E30" s="738"/>
      <c r="F30" s="736">
        <f>F29*I30</f>
        <v>850.5</v>
      </c>
      <c r="G30" s="118">
        <f t="shared" ref="G30:G34" si="6">$G$29</f>
        <v>1</v>
      </c>
      <c r="H30" s="739">
        <f>(H29/1701)*10%</f>
        <v>1.9959588477366257</v>
      </c>
      <c r="I30" s="1062">
        <v>0.5</v>
      </c>
      <c r="J30" s="741"/>
      <c r="K30" s="741"/>
      <c r="L30" s="742"/>
      <c r="M30" s="410">
        <f>H30*F30</f>
        <v>1697.5630000000001</v>
      </c>
      <c r="N30" s="410"/>
      <c r="O30" s="1063"/>
      <c r="P30" s="744"/>
      <c r="Q30" s="1067">
        <f t="shared" si="4"/>
        <v>1697.5630000000001</v>
      </c>
      <c r="R30" s="1068">
        <f t="shared" ref="R30:R35" si="7">Q30*$B$12</f>
        <v>553.40553800000009</v>
      </c>
      <c r="S30" s="1069">
        <f t="shared" ref="S30:S35" si="8">Q30+R30</f>
        <v>2250.9685380000001</v>
      </c>
      <c r="T30" s="492"/>
      <c r="U30" s="660"/>
      <c r="V30" s="160">
        <f t="shared" si="5"/>
        <v>2250.9685380000001</v>
      </c>
      <c r="W30" s="7"/>
      <c r="X30" s="7"/>
      <c r="Y30" s="7"/>
      <c r="Z30" s="7"/>
      <c r="AA30" s="365"/>
      <c r="AB30" s="7"/>
    </row>
    <row r="31" spans="1:80" ht="15.95" customHeight="1" x14ac:dyDescent="0.25">
      <c r="A31" s="1209" t="s">
        <v>292</v>
      </c>
      <c r="B31" s="736"/>
      <c r="C31" s="737"/>
      <c r="D31" s="736"/>
      <c r="E31" s="738"/>
      <c r="F31" s="736">
        <f>F29*I31</f>
        <v>850.5</v>
      </c>
      <c r="G31" s="118">
        <f t="shared" si="6"/>
        <v>1</v>
      </c>
      <c r="H31" s="739">
        <f>(H29/1701)*25%</f>
        <v>4.9898971193415642</v>
      </c>
      <c r="I31" s="1062">
        <v>0.5</v>
      </c>
      <c r="J31" s="741"/>
      <c r="K31" s="741"/>
      <c r="L31" s="742"/>
      <c r="M31" s="410">
        <f>H31*F31</f>
        <v>4243.9075000000003</v>
      </c>
      <c r="N31" s="410"/>
      <c r="O31" s="1063"/>
      <c r="P31" s="744"/>
      <c r="Q31" s="1067">
        <f t="shared" si="4"/>
        <v>4243.9075000000003</v>
      </c>
      <c r="R31" s="1068">
        <f t="shared" si="7"/>
        <v>1383.5138450000002</v>
      </c>
      <c r="S31" s="1069">
        <f t="shared" si="8"/>
        <v>5627.4213450000007</v>
      </c>
      <c r="T31" s="492"/>
      <c r="U31" s="660"/>
      <c r="V31" s="160">
        <f t="shared" si="5"/>
        <v>5627.4213450000007</v>
      </c>
      <c r="W31" s="7"/>
      <c r="X31" s="7"/>
      <c r="Y31" s="7"/>
      <c r="Z31" s="7"/>
      <c r="AA31" s="365"/>
      <c r="AB31" s="7"/>
    </row>
    <row r="32" spans="1:80" ht="15.95" customHeight="1" x14ac:dyDescent="0.25">
      <c r="A32" s="1209" t="s">
        <v>318</v>
      </c>
      <c r="B32" s="736"/>
      <c r="C32" s="737"/>
      <c r="D32" s="736"/>
      <c r="E32" s="738"/>
      <c r="F32" s="736">
        <v>12</v>
      </c>
      <c r="G32" s="118">
        <f t="shared" si="6"/>
        <v>1</v>
      </c>
      <c r="H32" s="739">
        <f>H25</f>
        <v>289.06</v>
      </c>
      <c r="I32" s="1062"/>
      <c r="J32" s="741"/>
      <c r="K32" s="741"/>
      <c r="L32" s="742"/>
      <c r="M32" s="410">
        <f>F32*H32</f>
        <v>3468.7200000000003</v>
      </c>
      <c r="N32" s="410"/>
      <c r="O32" s="1063"/>
      <c r="P32" s="744"/>
      <c r="Q32" s="1067">
        <f t="shared" si="4"/>
        <v>3468.7200000000003</v>
      </c>
      <c r="R32" s="1068">
        <f t="shared" si="7"/>
        <v>1130.8027200000001</v>
      </c>
      <c r="S32" s="1069">
        <f t="shared" si="8"/>
        <v>4599.5227200000008</v>
      </c>
      <c r="T32" s="492"/>
      <c r="U32" s="660"/>
      <c r="V32" s="160">
        <f t="shared" si="5"/>
        <v>4599.5227200000008</v>
      </c>
      <c r="W32" s="7"/>
      <c r="X32" s="7"/>
      <c r="Y32" s="7"/>
      <c r="Z32" s="7"/>
      <c r="AA32" s="365"/>
      <c r="AB32" s="7"/>
    </row>
    <row r="33" spans="1:28" ht="15.95" customHeight="1" x14ac:dyDescent="0.25">
      <c r="A33" s="1209" t="s">
        <v>570</v>
      </c>
      <c r="B33" s="736"/>
      <c r="C33" s="737"/>
      <c r="D33" s="736"/>
      <c r="E33" s="738"/>
      <c r="F33" s="736">
        <f>F26</f>
        <v>911.4</v>
      </c>
      <c r="G33" s="118">
        <f t="shared" si="6"/>
        <v>1</v>
      </c>
      <c r="H33" s="739"/>
      <c r="I33" s="1062"/>
      <c r="J33" s="741"/>
      <c r="K33" s="741"/>
      <c r="L33" s="742"/>
      <c r="M33" s="410">
        <f>F33</f>
        <v>911.4</v>
      </c>
      <c r="N33" s="410"/>
      <c r="O33" s="1063"/>
      <c r="P33" s="744"/>
      <c r="Q33" s="1067">
        <f t="shared" si="4"/>
        <v>911.4</v>
      </c>
      <c r="R33" s="1068">
        <f t="shared" si="7"/>
        <v>297.1164</v>
      </c>
      <c r="S33" s="1069">
        <f t="shared" si="8"/>
        <v>1208.5164</v>
      </c>
      <c r="T33" s="492"/>
      <c r="U33" s="660"/>
      <c r="V33" s="160">
        <f t="shared" si="5"/>
        <v>1208.5164</v>
      </c>
      <c r="W33" s="7"/>
      <c r="X33" s="7"/>
      <c r="Y33" s="7"/>
      <c r="Z33" s="7"/>
      <c r="AA33" s="365"/>
      <c r="AB33" s="7"/>
    </row>
    <row r="34" spans="1:28" ht="15.95" customHeight="1" x14ac:dyDescent="0.25">
      <c r="A34" s="1209" t="s">
        <v>572</v>
      </c>
      <c r="B34" s="736"/>
      <c r="C34" s="737"/>
      <c r="D34" s="736"/>
      <c r="E34" s="738"/>
      <c r="F34" s="736">
        <f>(H22-H29)/12</f>
        <v>373.39499999999981</v>
      </c>
      <c r="G34" s="118">
        <f t="shared" si="6"/>
        <v>1</v>
      </c>
      <c r="H34" s="739"/>
      <c r="I34" s="1062"/>
      <c r="J34" s="741"/>
      <c r="K34" s="741"/>
      <c r="L34" s="742"/>
      <c r="M34" s="614">
        <f>F34</f>
        <v>373.39499999999981</v>
      </c>
      <c r="N34" s="614"/>
      <c r="O34" s="1063"/>
      <c r="P34" s="744"/>
      <c r="Q34" s="1067">
        <f t="shared" si="4"/>
        <v>373.39499999999981</v>
      </c>
      <c r="R34" s="1068">
        <f t="shared" si="7"/>
        <v>121.72676999999995</v>
      </c>
      <c r="S34" s="1069">
        <f t="shared" si="8"/>
        <v>495.12176999999974</v>
      </c>
      <c r="T34" s="492"/>
      <c r="U34" s="660"/>
      <c r="V34" s="160">
        <f t="shared" si="5"/>
        <v>495.12176999999974</v>
      </c>
      <c r="W34" s="7"/>
      <c r="X34" s="7"/>
      <c r="Y34" s="7"/>
      <c r="Z34" s="7"/>
      <c r="AA34" s="365"/>
      <c r="AB34" s="7"/>
    </row>
    <row r="35" spans="1:28" ht="15.75" thickBot="1" x14ac:dyDescent="0.3">
      <c r="A35" s="1451" t="s">
        <v>631</v>
      </c>
      <c r="B35" s="1452"/>
      <c r="C35" s="1453"/>
      <c r="D35" s="1452"/>
      <c r="E35" s="1454"/>
      <c r="F35" s="1452">
        <v>1983.35</v>
      </c>
      <c r="G35" s="1455"/>
      <c r="H35" s="1455"/>
      <c r="I35" s="1456"/>
      <c r="J35" s="1457"/>
      <c r="K35" s="1457"/>
      <c r="L35" s="1458"/>
      <c r="M35" s="1495">
        <v>1983.35</v>
      </c>
      <c r="N35" s="673"/>
      <c r="O35" s="1071"/>
      <c r="P35" s="1459"/>
      <c r="Q35" s="1460">
        <f>M35</f>
        <v>1983.35</v>
      </c>
      <c r="R35" s="1461">
        <f t="shared" si="7"/>
        <v>646.57209999999998</v>
      </c>
      <c r="S35" s="1069">
        <f t="shared" si="8"/>
        <v>2629.9220999999998</v>
      </c>
      <c r="T35" s="653"/>
      <c r="U35" s="1101"/>
      <c r="V35" s="1362">
        <f t="shared" si="5"/>
        <v>2629.9220999999998</v>
      </c>
      <c r="W35" s="7"/>
      <c r="X35" s="7"/>
      <c r="Y35" s="7"/>
      <c r="Z35" s="7"/>
      <c r="AA35" s="365"/>
      <c r="AB35" s="7"/>
    </row>
    <row r="36" spans="1:28" ht="16.5" thickBot="1" x14ac:dyDescent="0.3">
      <c r="A36" s="1084" t="s">
        <v>622</v>
      </c>
      <c r="B36" s="1085"/>
      <c r="C36" s="1086"/>
      <c r="D36" s="1085"/>
      <c r="E36" s="1087"/>
      <c r="F36" s="1198">
        <v>10206</v>
      </c>
      <c r="G36" s="1240">
        <v>6</v>
      </c>
      <c r="H36" s="1088"/>
      <c r="I36" s="1135"/>
      <c r="J36" s="1136"/>
      <c r="K36" s="1136"/>
      <c r="L36" s="1137"/>
      <c r="M36" s="1138">
        <f>M37+M38+M39+M40+M41+M42</f>
        <v>44262.600000000006</v>
      </c>
      <c r="N36" s="1138">
        <f t="shared" ref="N36:P36" si="9">SUM(N37:N41)</f>
        <v>42512.669000000009</v>
      </c>
      <c r="O36" s="1138" t="e">
        <f t="shared" si="9"/>
        <v>#REF!</v>
      </c>
      <c r="P36" s="1138" t="e">
        <f t="shared" si="9"/>
        <v>#REF!</v>
      </c>
      <c r="Q36" s="1211">
        <f>SUM(Q37:Q42)</f>
        <v>246490.22044720163</v>
      </c>
      <c r="R36" s="1211">
        <f>SUM(R37:R42)</f>
        <v>80355.811865787749</v>
      </c>
      <c r="S36" s="1094">
        <f>SUM(S37:S42)</f>
        <v>326846.03231298935</v>
      </c>
      <c r="T36" s="492">
        <f>S36</f>
        <v>326846.03231298935</v>
      </c>
      <c r="U36" s="1101"/>
      <c r="V36" s="1516">
        <f>SUM(V29:V35)</f>
        <v>61830.843633000011</v>
      </c>
      <c r="W36" s="7"/>
      <c r="X36" s="7"/>
      <c r="Y36" s="7"/>
      <c r="Z36" s="7"/>
      <c r="AA36" s="365"/>
      <c r="AB36" s="7"/>
    </row>
    <row r="37" spans="1:28" ht="15.95" customHeight="1" x14ac:dyDescent="0.25">
      <c r="A37" s="1058" t="s">
        <v>580</v>
      </c>
      <c r="B37" s="1059"/>
      <c r="C37" s="53" t="s">
        <v>575</v>
      </c>
      <c r="D37" s="1059"/>
      <c r="E37" s="1061"/>
      <c r="F37" s="1103">
        <v>1701</v>
      </c>
      <c r="G37" s="1244">
        <f>F36/F37</f>
        <v>6</v>
      </c>
      <c r="H37" s="484">
        <v>33951.26</v>
      </c>
      <c r="I37" s="1104"/>
      <c r="J37" s="1105"/>
      <c r="K37" s="1105"/>
      <c r="L37" s="1057"/>
      <c r="M37" s="1106">
        <f>H37</f>
        <v>33951.26</v>
      </c>
      <c r="N37" s="1095">
        <f>M37+M38+M39+M40</f>
        <v>42512.669000000009</v>
      </c>
      <c r="O37" s="412" t="e">
        <f>IF(#REF!&gt;N37,#REF!,N37)</f>
        <v>#REF!</v>
      </c>
      <c r="P37" s="1096" t="e">
        <f>(O37-N37)/O37</f>
        <v>#REF!</v>
      </c>
      <c r="Q37" s="1064">
        <f>M37*G37</f>
        <v>203707.56</v>
      </c>
      <c r="R37" s="1065">
        <f>$B$12*Q37</f>
        <v>66408.664560000005</v>
      </c>
      <c r="S37" s="1069">
        <f>Q37+R37</f>
        <v>270116.22456</v>
      </c>
      <c r="T37" s="492"/>
      <c r="V37" s="1362">
        <f t="shared" ref="V37:V42" si="10">S37</f>
        <v>270116.22456</v>
      </c>
      <c r="W37" s="7"/>
      <c r="X37" s="7"/>
      <c r="Y37" s="7"/>
      <c r="Z37" s="7"/>
      <c r="AA37" s="365"/>
      <c r="AB37" s="7"/>
    </row>
    <row r="38" spans="1:28" ht="15.95" customHeight="1" x14ac:dyDescent="0.25">
      <c r="A38" s="1210" t="s">
        <v>293</v>
      </c>
      <c r="B38" s="52"/>
      <c r="C38" s="53" t="s">
        <v>16</v>
      </c>
      <c r="D38" s="52"/>
      <c r="E38" s="54"/>
      <c r="F38" s="52">
        <f>1701*I38</f>
        <v>850.5</v>
      </c>
      <c r="G38" s="1245">
        <v>6</v>
      </c>
      <c r="H38" s="416">
        <f>(H37/1701)*10%</f>
        <v>1.9959588477366257</v>
      </c>
      <c r="I38" s="430">
        <v>0.5</v>
      </c>
      <c r="J38" s="56"/>
      <c r="K38" s="56"/>
      <c r="L38" s="328"/>
      <c r="M38" s="1097">
        <f>F38*H38</f>
        <v>1697.5630000000001</v>
      </c>
      <c r="N38" s="1098"/>
      <c r="O38" s="676"/>
      <c r="P38" s="1066"/>
      <c r="Q38" s="1064">
        <f>M38*G38</f>
        <v>10185.378000000001</v>
      </c>
      <c r="R38" s="1065">
        <f t="shared" ref="R38:R111" si="11">$B$12*Q38</f>
        <v>3320.4332280000003</v>
      </c>
      <c r="S38" s="1069">
        <f t="shared" ref="S38:S42" si="12">Q38+R38</f>
        <v>13505.811228</v>
      </c>
      <c r="T38" s="492"/>
      <c r="V38" s="1362">
        <f t="shared" si="10"/>
        <v>13505.811228</v>
      </c>
      <c r="W38" s="7"/>
      <c r="X38" s="7"/>
      <c r="Y38" s="7"/>
      <c r="Z38" s="7"/>
      <c r="AA38" s="365"/>
      <c r="AB38" s="7"/>
    </row>
    <row r="39" spans="1:28" ht="15.95" customHeight="1" x14ac:dyDescent="0.25">
      <c r="A39" s="1210" t="s">
        <v>282</v>
      </c>
      <c r="B39" s="52"/>
      <c r="C39" s="53"/>
      <c r="D39" s="52"/>
      <c r="E39" s="54"/>
      <c r="F39" s="52">
        <f>1701*I39</f>
        <v>680.40000000000009</v>
      </c>
      <c r="G39" s="1245">
        <v>6</v>
      </c>
      <c r="H39" s="419">
        <f>(H37/1701)*25%</f>
        <v>4.9898971193415642</v>
      </c>
      <c r="I39" s="430">
        <v>0.4</v>
      </c>
      <c r="J39" s="56"/>
      <c r="K39" s="56"/>
      <c r="L39" s="328"/>
      <c r="M39" s="1097">
        <f>F39*H39</f>
        <v>3395.1260000000007</v>
      </c>
      <c r="N39" s="1098"/>
      <c r="O39" s="676"/>
      <c r="P39" s="1066"/>
      <c r="Q39" s="1064">
        <f>M39*H39</f>
        <v>16941.32944720165</v>
      </c>
      <c r="R39" s="1065">
        <f t="shared" si="11"/>
        <v>5522.873399787738</v>
      </c>
      <c r="S39" s="1069">
        <f t="shared" si="12"/>
        <v>22464.202846989388</v>
      </c>
      <c r="T39" s="492"/>
      <c r="V39" s="1362">
        <f t="shared" si="10"/>
        <v>22464.202846989388</v>
      </c>
      <c r="W39" s="7"/>
      <c r="X39" s="7"/>
      <c r="Y39" s="7"/>
      <c r="Z39" s="7"/>
      <c r="AA39" s="365"/>
      <c r="AB39" s="7"/>
    </row>
    <row r="40" spans="1:28" ht="15.95" customHeight="1" x14ac:dyDescent="0.25">
      <c r="A40" s="1210" t="s">
        <v>573</v>
      </c>
      <c r="B40" s="52"/>
      <c r="C40" s="53"/>
      <c r="D40" s="52"/>
      <c r="E40" s="54"/>
      <c r="F40" s="52">
        <v>12</v>
      </c>
      <c r="G40" s="1245">
        <v>6</v>
      </c>
      <c r="H40" s="419">
        <f t="shared" ref="H40" si="13">H32</f>
        <v>289.06</v>
      </c>
      <c r="I40" s="430"/>
      <c r="J40" s="56"/>
      <c r="K40" s="56"/>
      <c r="L40" s="328"/>
      <c r="M40" s="1097">
        <f>F40*H40</f>
        <v>3468.7200000000003</v>
      </c>
      <c r="N40" s="1098"/>
      <c r="O40" s="676"/>
      <c r="P40" s="1066"/>
      <c r="Q40" s="1064">
        <f>M40*G41</f>
        <v>10406.16</v>
      </c>
      <c r="R40" s="1065">
        <f t="shared" si="11"/>
        <v>3392.40816</v>
      </c>
      <c r="S40" s="1069">
        <f t="shared" si="12"/>
        <v>13798.568159999999</v>
      </c>
      <c r="T40" s="492"/>
      <c r="V40" s="1362">
        <f t="shared" si="10"/>
        <v>13798.568159999999</v>
      </c>
      <c r="W40" s="7"/>
      <c r="X40" s="7"/>
      <c r="Y40" s="7"/>
      <c r="Z40" s="7"/>
      <c r="AA40" s="365"/>
      <c r="AB40" s="7"/>
    </row>
    <row r="41" spans="1:28" ht="15.95" customHeight="1" x14ac:dyDescent="0.25">
      <c r="A41" s="1209" t="s">
        <v>570</v>
      </c>
      <c r="B41" s="47"/>
      <c r="C41" s="48"/>
      <c r="D41" s="47"/>
      <c r="E41" s="49"/>
      <c r="F41" s="47">
        <v>911</v>
      </c>
      <c r="G41" s="1468">
        <v>3</v>
      </c>
      <c r="H41" s="1429"/>
      <c r="I41" s="1237"/>
      <c r="J41" s="446"/>
      <c r="K41" s="446"/>
      <c r="L41" s="51"/>
      <c r="M41" s="1217">
        <f>F41</f>
        <v>911</v>
      </c>
      <c r="N41" s="1218"/>
      <c r="O41" s="1219"/>
      <c r="P41" s="1169"/>
      <c r="Q41" s="1220">
        <f>G41*M41</f>
        <v>2733</v>
      </c>
      <c r="R41" s="1192">
        <f t="shared" si="11"/>
        <v>890.95800000000008</v>
      </c>
      <c r="S41" s="1069">
        <f t="shared" si="12"/>
        <v>3623.9580000000001</v>
      </c>
      <c r="T41" s="492"/>
      <c r="V41" s="1362">
        <f t="shared" si="10"/>
        <v>3623.9580000000001</v>
      </c>
      <c r="W41" s="7"/>
      <c r="X41" s="7"/>
      <c r="Y41" s="7"/>
      <c r="Z41" s="7"/>
      <c r="AA41" s="365"/>
      <c r="AB41" s="7"/>
    </row>
    <row r="42" spans="1:28" x14ac:dyDescent="0.25">
      <c r="A42" s="1435" t="s">
        <v>632</v>
      </c>
      <c r="B42" s="1436"/>
      <c r="C42" s="1437"/>
      <c r="D42" s="1436"/>
      <c r="E42" s="1438"/>
      <c r="F42" s="1436">
        <v>838.93</v>
      </c>
      <c r="G42" s="1469">
        <v>3</v>
      </c>
      <c r="H42" s="1440"/>
      <c r="I42" s="1441"/>
      <c r="J42" s="1470"/>
      <c r="K42" s="1470"/>
      <c r="L42" s="670"/>
      <c r="M42" s="1462">
        <f>44262.6-M37-M38-M39-M40-M41</f>
        <v>838.93099999999595</v>
      </c>
      <c r="N42" s="1218"/>
      <c r="O42" s="1219"/>
      <c r="P42" s="1444"/>
      <c r="Q42" s="1463">
        <f>M42*3</f>
        <v>2516.7929999999878</v>
      </c>
      <c r="R42" s="1445">
        <f>Q42*B12</f>
        <v>820.47451799999601</v>
      </c>
      <c r="S42" s="1069">
        <f t="shared" si="12"/>
        <v>3337.2675179999837</v>
      </c>
      <c r="T42" s="492"/>
      <c r="U42" s="1101"/>
      <c r="V42" s="1362">
        <f t="shared" si="10"/>
        <v>3337.2675179999837</v>
      </c>
      <c r="W42" s="7"/>
      <c r="X42" s="7"/>
      <c r="Y42" s="7"/>
      <c r="Z42" s="7"/>
      <c r="AA42" s="365"/>
      <c r="AB42" s="7"/>
    </row>
    <row r="43" spans="1:28" s="2" customFormat="1" ht="16.5" thickBot="1" x14ac:dyDescent="0.3">
      <c r="A43" s="1464" t="s">
        <v>623</v>
      </c>
      <c r="B43" s="1226"/>
      <c r="C43" s="1165"/>
      <c r="D43" s="1226"/>
      <c r="E43" s="1227"/>
      <c r="F43" s="1465">
        <v>1701</v>
      </c>
      <c r="G43" s="1466">
        <v>1</v>
      </c>
      <c r="H43" s="1229"/>
      <c r="I43" s="1467"/>
      <c r="J43" s="1231"/>
      <c r="K43" s="1231"/>
      <c r="L43" s="1232"/>
      <c r="M43" s="1212">
        <f>SUM(M44:M48)</f>
        <v>39911.129000000008</v>
      </c>
      <c r="N43" s="1213">
        <f>M43+M46+M47+M48</f>
        <v>44173.435000000012</v>
      </c>
      <c r="O43" s="1214" t="e">
        <f>IF(#REF!&gt;N43,#REF!,N43)</f>
        <v>#REF!</v>
      </c>
      <c r="P43" s="1215" t="e">
        <f>(O43-N43)/O43</f>
        <v>#REF!</v>
      </c>
      <c r="Q43" s="1211">
        <f>SUM(Q44:Q47)</f>
        <v>39911.129000000008</v>
      </c>
      <c r="R43" s="1211">
        <f>SUM(R44:R47)</f>
        <v>13011.028054000002</v>
      </c>
      <c r="S43" s="1216">
        <f>SUM(S44:S48)</f>
        <v>52922.15705400001</v>
      </c>
      <c r="T43" s="492">
        <f>S43</f>
        <v>52922.15705400001</v>
      </c>
      <c r="U43" s="1101"/>
      <c r="V43" s="1516">
        <f>SUM(V37:V42)</f>
        <v>326846.03231298935</v>
      </c>
      <c r="W43" s="4"/>
      <c r="X43" s="4"/>
      <c r="Y43" s="4"/>
      <c r="Z43" s="4"/>
      <c r="AA43" s="1369"/>
      <c r="AB43" s="4"/>
    </row>
    <row r="44" spans="1:28" s="2" customFormat="1" ht="15.75" x14ac:dyDescent="0.25">
      <c r="A44" s="1125" t="s">
        <v>574</v>
      </c>
      <c r="B44" s="1075"/>
      <c r="C44" s="1076" t="s">
        <v>575</v>
      </c>
      <c r="D44" s="1075"/>
      <c r="E44" s="1077"/>
      <c r="F44" s="1126">
        <v>1701</v>
      </c>
      <c r="G44" s="1246">
        <f>F44/B10</f>
        <v>1</v>
      </c>
      <c r="H44" s="1078">
        <v>33951.26</v>
      </c>
      <c r="I44" s="1127"/>
      <c r="J44" s="1128"/>
      <c r="K44" s="1128"/>
      <c r="L44" s="1129"/>
      <c r="M44" s="1130">
        <f>H44</f>
        <v>33951.26</v>
      </c>
      <c r="N44" s="1099"/>
      <c r="O44" s="412"/>
      <c r="P44" s="1131"/>
      <c r="Q44" s="1132">
        <f>M44*G44</f>
        <v>33951.26</v>
      </c>
      <c r="R44" s="1133">
        <f>$B$12*Q44</f>
        <v>11068.110760000001</v>
      </c>
      <c r="S44" s="1069">
        <f>Q44+R44</f>
        <v>45019.370760000005</v>
      </c>
      <c r="T44" s="492"/>
      <c r="U44" s="1101"/>
      <c r="V44" s="1362">
        <f t="shared" ref="V44:V47" si="14">S44</f>
        <v>45019.370760000005</v>
      </c>
      <c r="W44" s="4"/>
      <c r="X44" s="4"/>
      <c r="Y44" s="4"/>
      <c r="Z44" s="4"/>
      <c r="AA44" s="1369"/>
      <c r="AB44" s="4"/>
    </row>
    <row r="45" spans="1:28" ht="15.95" customHeight="1" x14ac:dyDescent="0.25">
      <c r="A45" s="1208" t="s">
        <v>293</v>
      </c>
      <c r="B45" s="1059"/>
      <c r="C45" s="1060"/>
      <c r="D45" s="1059"/>
      <c r="E45" s="1061"/>
      <c r="F45" s="1103">
        <f>F44*I45</f>
        <v>850.5</v>
      </c>
      <c r="G45" s="1244">
        <v>1</v>
      </c>
      <c r="H45" s="1115">
        <f>H38</f>
        <v>1.9959588477366257</v>
      </c>
      <c r="I45" s="1114">
        <v>0.5</v>
      </c>
      <c r="J45" s="1105"/>
      <c r="K45" s="1105"/>
      <c r="L45" s="1057"/>
      <c r="M45" s="1106">
        <f>F45*H45</f>
        <v>1697.5630000000001</v>
      </c>
      <c r="N45" s="1099"/>
      <c r="O45" s="412"/>
      <c r="P45" s="1100"/>
      <c r="Q45" s="1132">
        <f t="shared" ref="Q45:Q47" si="15">M45*G45</f>
        <v>1697.5630000000001</v>
      </c>
      <c r="R45" s="1133">
        <f t="shared" ref="R45:R47" si="16">$B$12*Q45</f>
        <v>553.40553800000009</v>
      </c>
      <c r="S45" s="1069">
        <f t="shared" ref="S45:S48" si="17">Q45+R45</f>
        <v>2250.9685380000001</v>
      </c>
      <c r="T45" s="492"/>
      <c r="V45" s="160">
        <f t="shared" si="14"/>
        <v>2250.9685380000001</v>
      </c>
      <c r="W45" s="7"/>
      <c r="X45" s="7"/>
      <c r="Y45" s="7"/>
      <c r="Z45" s="7"/>
      <c r="AA45" s="365"/>
      <c r="AB45" s="7"/>
    </row>
    <row r="46" spans="1:28" ht="15.95" customHeight="1" x14ac:dyDescent="0.25">
      <c r="A46" s="1208" t="s">
        <v>589</v>
      </c>
      <c r="B46" s="52"/>
      <c r="C46" s="53" t="s">
        <v>16</v>
      </c>
      <c r="D46" s="52"/>
      <c r="E46" s="54"/>
      <c r="F46" s="52">
        <f>1701*I46</f>
        <v>680.40000000000009</v>
      </c>
      <c r="G46" s="1245">
        <v>1</v>
      </c>
      <c r="H46" s="416">
        <f>H39</f>
        <v>4.9898971193415642</v>
      </c>
      <c r="I46" s="430">
        <v>0.4</v>
      </c>
      <c r="J46" s="56"/>
      <c r="K46" s="56"/>
      <c r="L46" s="328"/>
      <c r="M46" s="1097">
        <f>H46*F46</f>
        <v>3395.1260000000007</v>
      </c>
      <c r="N46" s="1098"/>
      <c r="O46" s="676"/>
      <c r="P46" s="1066"/>
      <c r="Q46" s="1132">
        <f t="shared" si="15"/>
        <v>3395.1260000000007</v>
      </c>
      <c r="R46" s="1133">
        <f t="shared" si="16"/>
        <v>1106.8110760000002</v>
      </c>
      <c r="S46" s="1069">
        <f t="shared" si="17"/>
        <v>4501.9370760000011</v>
      </c>
      <c r="T46" s="492"/>
      <c r="V46" s="160">
        <f t="shared" si="14"/>
        <v>4501.9370760000011</v>
      </c>
      <c r="W46" s="7"/>
      <c r="X46" s="7"/>
      <c r="Y46" s="7"/>
      <c r="Z46" s="7"/>
      <c r="AA46" s="365"/>
      <c r="AB46" s="7"/>
    </row>
    <row r="47" spans="1:28" ht="15.95" customHeight="1" x14ac:dyDescent="0.25">
      <c r="A47" s="1208" t="s">
        <v>318</v>
      </c>
      <c r="B47" s="52"/>
      <c r="C47" s="53"/>
      <c r="D47" s="52"/>
      <c r="E47" s="54"/>
      <c r="F47" s="52">
        <v>12</v>
      </c>
      <c r="G47" s="1245">
        <v>1</v>
      </c>
      <c r="H47" s="419">
        <f>H40</f>
        <v>289.06</v>
      </c>
      <c r="I47" s="430"/>
      <c r="J47" s="56"/>
      <c r="K47" s="56"/>
      <c r="L47" s="328"/>
      <c r="M47" s="1097">
        <f>(F47*H47)/4</f>
        <v>867.18000000000006</v>
      </c>
      <c r="N47" s="1098"/>
      <c r="O47" s="676"/>
      <c r="P47" s="1066"/>
      <c r="Q47" s="1132">
        <f t="shared" si="15"/>
        <v>867.18000000000006</v>
      </c>
      <c r="R47" s="1133">
        <f t="shared" si="16"/>
        <v>282.70068000000003</v>
      </c>
      <c r="S47" s="1069">
        <f t="shared" si="17"/>
        <v>1149.8806800000002</v>
      </c>
      <c r="T47" s="492"/>
      <c r="V47" s="160">
        <f t="shared" si="14"/>
        <v>1149.8806800000002</v>
      </c>
      <c r="W47" s="7"/>
      <c r="X47" s="7"/>
      <c r="Y47" s="7"/>
      <c r="Z47" s="7"/>
      <c r="AA47" s="365"/>
      <c r="AB47" s="7"/>
    </row>
    <row r="48" spans="1:28" ht="15" customHeight="1" thickBot="1" x14ac:dyDescent="0.3">
      <c r="A48" s="1210" t="s">
        <v>633</v>
      </c>
      <c r="B48" s="52"/>
      <c r="C48" s="53"/>
      <c r="D48" s="52"/>
      <c r="E48" s="54"/>
      <c r="F48" s="52"/>
      <c r="G48" s="432"/>
      <c r="H48" s="419"/>
      <c r="I48" s="430"/>
      <c r="J48" s="56"/>
      <c r="K48" s="56"/>
      <c r="L48" s="328"/>
      <c r="M48" s="1116"/>
      <c r="N48" s="1102"/>
      <c r="O48" s="1071"/>
      <c r="P48" s="1072"/>
      <c r="Q48" s="1188"/>
      <c r="R48" s="1073">
        <f t="shared" ref="R48" si="18">$B$12*Q48</f>
        <v>0</v>
      </c>
      <c r="S48" s="1069">
        <f t="shared" si="17"/>
        <v>0</v>
      </c>
      <c r="T48" s="492"/>
      <c r="V48" s="1516">
        <f>SUM(V44:V47)</f>
        <v>52922.15705400001</v>
      </c>
      <c r="W48" s="7"/>
      <c r="X48" s="7"/>
      <c r="Y48" s="7"/>
      <c r="Z48" s="7"/>
      <c r="AA48" s="365"/>
      <c r="AB48" s="7"/>
    </row>
    <row r="49" spans="1:33" ht="15.95" customHeight="1" thickBot="1" x14ac:dyDescent="0.3">
      <c r="A49" s="1182" t="s">
        <v>624</v>
      </c>
      <c r="B49" s="1183"/>
      <c r="C49" s="1183"/>
      <c r="D49" s="1183"/>
      <c r="E49" s="1184"/>
      <c r="F49" s="1238">
        <f>F50+F61+F72</f>
        <v>103761</v>
      </c>
      <c r="G49" s="1239">
        <f>F49/1701</f>
        <v>61</v>
      </c>
      <c r="H49" s="1183"/>
      <c r="I49" s="1183"/>
      <c r="J49" s="1183"/>
      <c r="K49" s="1183"/>
      <c r="L49" s="1183"/>
      <c r="M49" s="1183"/>
      <c r="N49" s="1183"/>
      <c r="O49" s="1183"/>
      <c r="P49" s="1183"/>
      <c r="Q49" s="1511">
        <f>Q50+Q61+Q72+Q82</f>
        <v>2263130.9186080624</v>
      </c>
      <c r="R49" s="1361">
        <f>R50+R61+R72+R82</f>
        <v>737780.67946622823</v>
      </c>
      <c r="S49" s="1190">
        <f>S50+S61+S72+S82</f>
        <v>3005194.8697942891</v>
      </c>
      <c r="T49" s="492"/>
      <c r="V49" s="1514"/>
      <c r="W49" s="7"/>
      <c r="X49" s="7"/>
      <c r="Y49" s="7"/>
      <c r="Z49" s="7"/>
      <c r="AA49" s="365"/>
      <c r="AB49" s="7"/>
    </row>
    <row r="50" spans="1:33" ht="15.95" customHeight="1" thickBot="1" x14ac:dyDescent="0.3">
      <c r="A50" s="1149" t="s">
        <v>582</v>
      </c>
      <c r="B50" s="1107"/>
      <c r="C50" s="1108"/>
      <c r="D50" s="1107"/>
      <c r="E50" s="1337"/>
      <c r="F50" s="1339">
        <v>83349</v>
      </c>
      <c r="G50" s="1338">
        <f>F50/1701</f>
        <v>49</v>
      </c>
      <c r="H50" s="1121"/>
      <c r="I50" s="1122"/>
      <c r="J50" s="1111"/>
      <c r="K50" s="1111"/>
      <c r="L50" s="1112"/>
      <c r="M50" s="1212">
        <f>SUM(M51:M59)+76.91</f>
        <v>34794.599787500003</v>
      </c>
      <c r="N50" s="1123"/>
      <c r="O50" s="1113"/>
      <c r="P50" s="1124"/>
      <c r="Q50" s="1191">
        <f>SUM(Q51:Q59)</f>
        <v>1691145.7995875003</v>
      </c>
      <c r="R50" s="1191">
        <f>SUM(R51:R59)</f>
        <v>551313.530665525</v>
      </c>
      <c r="S50" s="1162">
        <f>SUM(S51:S60)</f>
        <v>2246742.6019730247</v>
      </c>
      <c r="T50" s="492">
        <f>S50</f>
        <v>2246742.6019730247</v>
      </c>
      <c r="U50" s="660"/>
      <c r="V50" s="160"/>
      <c r="W50" s="7"/>
      <c r="X50" s="7"/>
      <c r="Y50" s="7"/>
      <c r="Z50" s="7"/>
      <c r="AA50" s="365"/>
      <c r="AB50" s="7"/>
      <c r="AG50" s="20"/>
    </row>
    <row r="51" spans="1:33" ht="15.95" customHeight="1" x14ac:dyDescent="0.25">
      <c r="A51" s="1117" t="s">
        <v>576</v>
      </c>
      <c r="B51" s="1050"/>
      <c r="C51" s="1164" t="s">
        <v>323</v>
      </c>
      <c r="D51" s="1050"/>
      <c r="E51" s="1052"/>
      <c r="F51" s="1140">
        <v>1701</v>
      </c>
      <c r="G51" s="1242">
        <f>F50/F51</f>
        <v>49</v>
      </c>
      <c r="H51" s="1053">
        <v>26007.66</v>
      </c>
      <c r="I51" s="1054"/>
      <c r="J51" s="1119"/>
      <c r="K51" s="1119"/>
      <c r="L51" s="1055"/>
      <c r="M51" s="1120">
        <f>H51</f>
        <v>26007.66</v>
      </c>
      <c r="N51" s="1095">
        <f>M51+M52+M53+M54</f>
        <v>31491.97365</v>
      </c>
      <c r="O51" s="271" t="e">
        <f>IF(#REF!&gt;N51,#REF!,N51)</f>
        <v>#REF!</v>
      </c>
      <c r="P51" s="1066"/>
      <c r="Q51" s="1066">
        <f>G51*M51</f>
        <v>1274375.3400000001</v>
      </c>
      <c r="R51" s="1065">
        <f t="shared" si="11"/>
        <v>415446.36084000004</v>
      </c>
      <c r="S51" s="1069">
        <f>Q51+R51</f>
        <v>1689821.7008400001</v>
      </c>
      <c r="T51" s="492"/>
      <c r="V51" s="160">
        <f t="shared" ref="V51:V60" si="19">S51</f>
        <v>1689821.7008400001</v>
      </c>
      <c r="W51" s="7"/>
      <c r="X51" s="7"/>
      <c r="Y51" s="7"/>
      <c r="Z51" s="7"/>
      <c r="AA51" s="365"/>
      <c r="AB51" s="7"/>
    </row>
    <row r="52" spans="1:33" ht="15.95" customHeight="1" x14ac:dyDescent="0.25">
      <c r="A52" s="1210" t="s">
        <v>293</v>
      </c>
      <c r="B52" s="52"/>
      <c r="C52" s="53"/>
      <c r="D52" s="52"/>
      <c r="E52" s="1167">
        <f>1701/1</f>
        <v>1701</v>
      </c>
      <c r="F52" s="52">
        <f>F51*I52</f>
        <v>340.20000000000005</v>
      </c>
      <c r="G52" s="55">
        <v>49</v>
      </c>
      <c r="H52" s="419">
        <f>(H51/1701)*10%</f>
        <v>1.5289629629629631</v>
      </c>
      <c r="I52" s="430">
        <v>0.2</v>
      </c>
      <c r="J52" s="56"/>
      <c r="K52" s="56"/>
      <c r="L52" s="328"/>
      <c r="M52" s="269">
        <f>F52*H52</f>
        <v>520.15320000000008</v>
      </c>
      <c r="N52" s="673"/>
      <c r="O52" s="676"/>
      <c r="P52" s="44"/>
      <c r="Q52" s="1066">
        <f t="shared" ref="Q52:Q59" si="20">M52*G52</f>
        <v>25487.506800000003</v>
      </c>
      <c r="R52" s="1065">
        <f t="shared" si="11"/>
        <v>8308.9272168000007</v>
      </c>
      <c r="S52" s="1069">
        <f t="shared" ref="S52:S60" si="21">Q52+R52</f>
        <v>33796.434016800005</v>
      </c>
      <c r="T52" s="492"/>
      <c r="V52" s="160">
        <f t="shared" si="19"/>
        <v>33796.434016800005</v>
      </c>
      <c r="W52" s="7"/>
      <c r="X52" s="7"/>
      <c r="Y52" s="7"/>
      <c r="Z52" s="7"/>
      <c r="AA52" s="365"/>
      <c r="AB52" s="7"/>
    </row>
    <row r="53" spans="1:33" ht="15.95" customHeight="1" x14ac:dyDescent="0.25">
      <c r="A53" s="1334" t="s">
        <v>587</v>
      </c>
      <c r="B53" s="52"/>
      <c r="C53" s="53"/>
      <c r="D53" s="52"/>
      <c r="E53" s="1168"/>
      <c r="F53" s="52">
        <f>1701*I53</f>
        <v>391.23</v>
      </c>
      <c r="G53" s="55">
        <v>49</v>
      </c>
      <c r="H53" s="419">
        <f>(H51/1701)*25%</f>
        <v>3.8224074074074075</v>
      </c>
      <c r="I53" s="430">
        <v>0.23</v>
      </c>
      <c r="J53" s="56"/>
      <c r="K53" s="56"/>
      <c r="L53" s="328"/>
      <c r="M53" s="269">
        <f>F53*H53</f>
        <v>1495.4404500000001</v>
      </c>
      <c r="N53" s="673"/>
      <c r="O53" s="676"/>
      <c r="P53" s="44"/>
      <c r="Q53" s="1066">
        <f t="shared" si="20"/>
        <v>73276.582049999997</v>
      </c>
      <c r="R53" s="1065">
        <f t="shared" si="11"/>
        <v>23888.165748300002</v>
      </c>
      <c r="S53" s="1069">
        <f t="shared" si="21"/>
        <v>97164.747798299999</v>
      </c>
      <c r="T53" s="492"/>
      <c r="V53" s="160">
        <f t="shared" si="19"/>
        <v>97164.747798299999</v>
      </c>
      <c r="W53" s="7"/>
      <c r="X53" s="7"/>
      <c r="Y53" s="7"/>
      <c r="Z53" s="7"/>
      <c r="AA53" s="365"/>
      <c r="AB53" s="7"/>
    </row>
    <row r="54" spans="1:33" ht="15.95" customHeight="1" x14ac:dyDescent="0.25">
      <c r="A54" s="1189" t="s">
        <v>296</v>
      </c>
      <c r="B54" s="52"/>
      <c r="C54" s="48"/>
      <c r="D54" s="52"/>
      <c r="E54" s="54"/>
      <c r="F54" s="52">
        <v>12</v>
      </c>
      <c r="G54" s="55">
        <f>G51</f>
        <v>49</v>
      </c>
      <c r="H54" s="419">
        <v>289.06</v>
      </c>
      <c r="I54" s="430"/>
      <c r="J54" s="56"/>
      <c r="K54" s="56"/>
      <c r="L54" s="328"/>
      <c r="M54" s="269">
        <f>F54*H54</f>
        <v>3468.7200000000003</v>
      </c>
      <c r="N54" s="673"/>
      <c r="O54" s="676"/>
      <c r="P54" s="44"/>
      <c r="Q54" s="1066">
        <f t="shared" si="20"/>
        <v>169967.28</v>
      </c>
      <c r="R54" s="1065">
        <f t="shared" si="11"/>
        <v>55409.333279999999</v>
      </c>
      <c r="S54" s="1069">
        <f t="shared" si="21"/>
        <v>225376.61327999999</v>
      </c>
      <c r="T54" s="492"/>
      <c r="V54" s="160">
        <f t="shared" si="19"/>
        <v>225376.61327999999</v>
      </c>
      <c r="W54" s="7"/>
      <c r="X54" s="7"/>
      <c r="Y54" s="7"/>
      <c r="Z54" s="7"/>
      <c r="AA54" s="365"/>
      <c r="AB54" s="7"/>
    </row>
    <row r="55" spans="1:33" ht="15.95" customHeight="1" x14ac:dyDescent="0.25">
      <c r="A55" s="1189" t="s">
        <v>570</v>
      </c>
      <c r="B55" s="52"/>
      <c r="C55" s="48"/>
      <c r="D55" s="52"/>
      <c r="E55" s="54"/>
      <c r="F55" s="52">
        <v>911</v>
      </c>
      <c r="G55" s="55">
        <v>38</v>
      </c>
      <c r="H55" s="419"/>
      <c r="I55" s="430"/>
      <c r="J55" s="56"/>
      <c r="K55" s="56"/>
      <c r="L55" s="328"/>
      <c r="M55" s="1223">
        <f>F55</f>
        <v>911</v>
      </c>
      <c r="N55" s="673"/>
      <c r="O55" s="676"/>
      <c r="P55" s="44"/>
      <c r="Q55" s="1066">
        <f t="shared" si="20"/>
        <v>34618</v>
      </c>
      <c r="R55" s="1065">
        <f>Q55*B12</f>
        <v>11285.468000000001</v>
      </c>
      <c r="S55" s="1069">
        <f t="shared" si="21"/>
        <v>45903.468000000001</v>
      </c>
      <c r="T55" s="492"/>
      <c r="V55" s="160">
        <f t="shared" si="19"/>
        <v>45903.468000000001</v>
      </c>
      <c r="W55" s="7"/>
      <c r="X55" s="7"/>
      <c r="Y55" s="7"/>
      <c r="Z55" s="7"/>
      <c r="AA55" s="365"/>
      <c r="AB55" s="7"/>
      <c r="AG55" s="20"/>
    </row>
    <row r="56" spans="1:33" ht="15.95" customHeight="1" x14ac:dyDescent="0.25">
      <c r="A56" s="1189" t="s">
        <v>322</v>
      </c>
      <c r="B56" s="441"/>
      <c r="C56" s="1166" t="s">
        <v>16</v>
      </c>
      <c r="D56" s="52"/>
      <c r="E56" s="54"/>
      <c r="F56" s="52">
        <f>1701/12</f>
        <v>141.75</v>
      </c>
      <c r="G56" s="55">
        <v>49</v>
      </c>
      <c r="H56" s="419">
        <f>H51/14</f>
        <v>1857.69</v>
      </c>
      <c r="I56" s="430"/>
      <c r="J56" s="56"/>
      <c r="K56" s="56"/>
      <c r="L56" s="328"/>
      <c r="M56" s="269">
        <f>M51/14</f>
        <v>1857.69</v>
      </c>
      <c r="N56" s="673"/>
      <c r="O56" s="271">
        <f>M56</f>
        <v>1857.69</v>
      </c>
      <c r="P56" s="44"/>
      <c r="Q56" s="1066">
        <f t="shared" si="20"/>
        <v>91026.81</v>
      </c>
      <c r="R56" s="1065">
        <f t="shared" si="11"/>
        <v>29674.74006</v>
      </c>
      <c r="S56" s="1069">
        <f t="shared" si="21"/>
        <v>120701.55005999999</v>
      </c>
      <c r="T56" s="492"/>
      <c r="V56" s="160">
        <f t="shared" si="19"/>
        <v>120701.55005999999</v>
      </c>
      <c r="W56" s="7"/>
      <c r="X56" s="7"/>
      <c r="Y56" s="7"/>
      <c r="Z56" s="7"/>
      <c r="AA56" s="365"/>
      <c r="AB56" s="7"/>
    </row>
    <row r="57" spans="1:33" ht="15.95" customHeight="1" x14ac:dyDescent="0.25">
      <c r="A57" s="1189" t="s">
        <v>588</v>
      </c>
      <c r="B57" s="441"/>
      <c r="C57" s="1166" t="s">
        <v>16</v>
      </c>
      <c r="D57" s="52"/>
      <c r="E57" s="54"/>
      <c r="F57" s="52">
        <f>F56*I57</f>
        <v>32.602499999999999</v>
      </c>
      <c r="G57" s="55">
        <v>49</v>
      </c>
      <c r="H57" s="419">
        <f>(H51/1701)*25%</f>
        <v>3.8224074074074075</v>
      </c>
      <c r="I57" s="430">
        <v>0.23</v>
      </c>
      <c r="J57" s="56"/>
      <c r="K57" s="56"/>
      <c r="L57" s="328"/>
      <c r="M57" s="269">
        <f>F57*H57</f>
        <v>124.6200375</v>
      </c>
      <c r="N57" s="673"/>
      <c r="O57" s="271">
        <f>H57*F57</f>
        <v>124.6200375</v>
      </c>
      <c r="P57" s="44"/>
      <c r="Q57" s="1066">
        <f t="shared" si="20"/>
        <v>6106.3818375000001</v>
      </c>
      <c r="R57" s="1065">
        <f t="shared" si="11"/>
        <v>1990.6804790250001</v>
      </c>
      <c r="S57" s="1069">
        <f t="shared" si="21"/>
        <v>8097.0623165249999</v>
      </c>
      <c r="T57" s="492"/>
      <c r="V57" s="160">
        <f t="shared" si="19"/>
        <v>8097.0623165249999</v>
      </c>
      <c r="W57" s="7"/>
      <c r="X57" s="7"/>
      <c r="Y57" s="7"/>
      <c r="Z57" s="7"/>
      <c r="AA57" s="365"/>
      <c r="AB57" s="7"/>
    </row>
    <row r="58" spans="1:33" ht="15.95" customHeight="1" x14ac:dyDescent="0.25">
      <c r="A58" s="1189" t="s">
        <v>320</v>
      </c>
      <c r="B58" s="441"/>
      <c r="C58" s="1166" t="s">
        <v>16</v>
      </c>
      <c r="D58" s="52"/>
      <c r="E58" s="54"/>
      <c r="F58" s="52">
        <v>1</v>
      </c>
      <c r="G58" s="55">
        <v>49</v>
      </c>
      <c r="H58" s="419">
        <v>289.06</v>
      </c>
      <c r="I58" s="430"/>
      <c r="J58" s="56"/>
      <c r="K58" s="56"/>
      <c r="L58" s="328"/>
      <c r="M58" s="269">
        <f>H58</f>
        <v>289.06</v>
      </c>
      <c r="N58" s="673"/>
      <c r="O58" s="271">
        <f>G58*H58</f>
        <v>14163.94</v>
      </c>
      <c r="P58" s="44"/>
      <c r="Q58" s="1066">
        <f t="shared" si="20"/>
        <v>14163.94</v>
      </c>
      <c r="R58" s="1065">
        <f t="shared" si="11"/>
        <v>4617.4444400000002</v>
      </c>
      <c r="S58" s="1069">
        <f t="shared" si="21"/>
        <v>18781.384440000002</v>
      </c>
      <c r="T58" s="492"/>
      <c r="V58" s="160">
        <f t="shared" si="19"/>
        <v>18781.384440000002</v>
      </c>
      <c r="W58" s="7"/>
      <c r="X58" s="7"/>
      <c r="Y58" s="7"/>
      <c r="Z58" s="7"/>
      <c r="AA58" s="365"/>
      <c r="AB58" s="7"/>
    </row>
    <row r="59" spans="1:33" ht="15.95" customHeight="1" x14ac:dyDescent="0.25">
      <c r="A59" s="1236" t="s">
        <v>327</v>
      </c>
      <c r="B59" s="1496"/>
      <c r="C59" s="1166" t="s">
        <v>16</v>
      </c>
      <c r="D59" s="47"/>
      <c r="E59" s="49"/>
      <c r="F59" s="47">
        <f>F56*I59</f>
        <v>28.35</v>
      </c>
      <c r="G59" s="1248">
        <v>49</v>
      </c>
      <c r="H59" s="1429">
        <f>H52</f>
        <v>1.5289629629629631</v>
      </c>
      <c r="I59" s="1237">
        <v>0.2</v>
      </c>
      <c r="J59" s="446"/>
      <c r="K59" s="446"/>
      <c r="L59" s="51"/>
      <c r="M59" s="269">
        <f>F59*H59</f>
        <v>43.346100000000007</v>
      </c>
      <c r="N59" s="675"/>
      <c r="O59" s="689">
        <f>M59</f>
        <v>43.346100000000007</v>
      </c>
      <c r="P59" s="247"/>
      <c r="Q59" s="1169">
        <f t="shared" si="20"/>
        <v>2123.9589000000005</v>
      </c>
      <c r="R59" s="1192">
        <f t="shared" si="11"/>
        <v>692.41060140000025</v>
      </c>
      <c r="S59" s="1069">
        <f t="shared" si="21"/>
        <v>2816.3695014000009</v>
      </c>
      <c r="T59" s="492"/>
      <c r="V59" s="1362">
        <f t="shared" si="19"/>
        <v>2816.3695014000009</v>
      </c>
      <c r="W59" s="7"/>
      <c r="X59" s="7"/>
      <c r="Y59" s="7"/>
      <c r="Z59" s="7"/>
      <c r="AA59" s="365"/>
      <c r="AB59" s="7"/>
    </row>
    <row r="60" spans="1:33" ht="15.95" customHeight="1" thickBot="1" x14ac:dyDescent="0.3">
      <c r="A60" s="1497" t="s">
        <v>632</v>
      </c>
      <c r="B60" s="1498"/>
      <c r="C60" s="1499"/>
      <c r="D60" s="1452"/>
      <c r="E60" s="1454"/>
      <c r="F60" s="1452">
        <v>76.91</v>
      </c>
      <c r="G60" s="1500">
        <v>42</v>
      </c>
      <c r="H60" s="1501"/>
      <c r="I60" s="1502"/>
      <c r="J60" s="1503"/>
      <c r="K60" s="1503"/>
      <c r="L60" s="1458"/>
      <c r="M60" s="1504">
        <f>F60</f>
        <v>76.91</v>
      </c>
      <c r="N60" s="1070"/>
      <c r="O60" s="1071"/>
      <c r="P60" s="1505"/>
      <c r="Q60" s="1506">
        <f>G60*M60</f>
        <v>3230.22</v>
      </c>
      <c r="R60" s="1489">
        <f t="shared" si="11"/>
        <v>1053.0517199999999</v>
      </c>
      <c r="S60" s="1069">
        <f t="shared" si="21"/>
        <v>4283.2717199999997</v>
      </c>
      <c r="T60" s="492"/>
      <c r="V60" s="1362">
        <f t="shared" si="19"/>
        <v>4283.2717199999997</v>
      </c>
      <c r="W60" s="7"/>
      <c r="X60" s="7"/>
      <c r="Y60" s="7"/>
      <c r="Z60" s="7"/>
      <c r="AA60" s="365"/>
      <c r="AB60" s="7"/>
    </row>
    <row r="61" spans="1:33" ht="16.5" thickBot="1" x14ac:dyDescent="0.3">
      <c r="A61" s="1139" t="s">
        <v>581</v>
      </c>
      <c r="B61" s="1142"/>
      <c r="C61" s="1108"/>
      <c r="D61" s="1107"/>
      <c r="E61" s="1109"/>
      <c r="F61" s="1199">
        <v>10206</v>
      </c>
      <c r="G61" s="1247">
        <v>6</v>
      </c>
      <c r="H61" s="1121"/>
      <c r="I61" s="1122"/>
      <c r="J61" s="1111"/>
      <c r="K61" s="1111"/>
      <c r="L61" s="1112"/>
      <c r="M61" s="1212">
        <f>M62+M63+M64+M65+M66+M71</f>
        <v>36069.373650000001</v>
      </c>
      <c r="N61" s="1143"/>
      <c r="O61" s="1113"/>
      <c r="P61" s="1144"/>
      <c r="Q61" s="1144">
        <f>SUM(Q62:Q71)</f>
        <v>206895.27867841665</v>
      </c>
      <c r="R61" s="1144">
        <f>SUM(R62:R71)</f>
        <v>67447.86084916383</v>
      </c>
      <c r="S61" s="1162">
        <f>SUM(S62:S71)</f>
        <v>274343.13952758047</v>
      </c>
      <c r="T61" s="492">
        <f>S61</f>
        <v>274343.13952758047</v>
      </c>
      <c r="V61" s="1516">
        <f>SUM(V51:V60)</f>
        <v>2246742.6019730247</v>
      </c>
      <c r="W61" s="7"/>
      <c r="X61" s="7"/>
      <c r="Y61" s="7"/>
      <c r="Z61" s="7"/>
      <c r="AA61" s="365"/>
      <c r="AB61" s="7"/>
      <c r="AG61" s="20"/>
    </row>
    <row r="62" spans="1:33" ht="15.75" x14ac:dyDescent="0.25">
      <c r="A62" s="1117" t="s">
        <v>302</v>
      </c>
      <c r="B62" s="1050"/>
      <c r="C62" s="1118"/>
      <c r="D62" s="1050"/>
      <c r="E62" s="1052"/>
      <c r="F62" s="1140">
        <v>1701</v>
      </c>
      <c r="G62" s="1242">
        <f>F61/F62</f>
        <v>6</v>
      </c>
      <c r="H62" s="1053">
        <v>26007.66</v>
      </c>
      <c r="I62" s="1141"/>
      <c r="J62" s="1119"/>
      <c r="K62" s="1119"/>
      <c r="L62" s="1055"/>
      <c r="M62" s="665">
        <f>H62</f>
        <v>26007.66</v>
      </c>
      <c r="N62" s="667">
        <f>M62+M63+M64+M65</f>
        <v>31491.97365</v>
      </c>
      <c r="O62" s="271" t="e">
        <f>IF(#REF!&gt;N62,#REF!,N62)</f>
        <v>#REF!</v>
      </c>
      <c r="P62" s="684" t="e">
        <f>(O62-N62)/O62</f>
        <v>#REF!</v>
      </c>
      <c r="Q62" s="1066">
        <f>M62*G62</f>
        <v>156045.96</v>
      </c>
      <c r="R62" s="1065">
        <f t="shared" si="11"/>
        <v>50870.982960000001</v>
      </c>
      <c r="S62" s="1069">
        <f>Q62+R62</f>
        <v>206916.94295999999</v>
      </c>
      <c r="T62" s="492"/>
      <c r="V62" s="160">
        <f t="shared" ref="V62:V71" si="22">S62</f>
        <v>206916.94295999999</v>
      </c>
      <c r="W62" s="7"/>
      <c r="X62" s="7"/>
      <c r="Y62" s="7"/>
      <c r="Z62" s="7"/>
      <c r="AA62" s="365"/>
      <c r="AB62" s="7"/>
    </row>
    <row r="63" spans="1:33" ht="15.75" x14ac:dyDescent="0.25">
      <c r="A63" s="1210" t="s">
        <v>293</v>
      </c>
      <c r="B63" s="52"/>
      <c r="C63" s="53"/>
      <c r="D63" s="52"/>
      <c r="E63" s="1167">
        <f>(1701/12)*G63</f>
        <v>850.5</v>
      </c>
      <c r="F63" s="52">
        <f>1701*I63</f>
        <v>340.20000000000005</v>
      </c>
      <c r="G63" s="55">
        <v>6</v>
      </c>
      <c r="H63" s="419">
        <f>(H62/1701)*10%</f>
        <v>1.5289629629629631</v>
      </c>
      <c r="I63" s="430">
        <v>0.2</v>
      </c>
      <c r="J63" s="56"/>
      <c r="K63" s="56"/>
      <c r="L63" s="328"/>
      <c r="M63" s="329">
        <f>F63*H63</f>
        <v>520.15320000000008</v>
      </c>
      <c r="N63" s="688"/>
      <c r="O63" s="688"/>
      <c r="P63" s="44"/>
      <c r="Q63" s="1066">
        <f>M63*G63</f>
        <v>3120.9192000000003</v>
      </c>
      <c r="R63" s="1065">
        <f t="shared" si="11"/>
        <v>1017.4196592000002</v>
      </c>
      <c r="S63" s="1069">
        <f t="shared" ref="S63:S71" si="23">Q63+R63</f>
        <v>4138.3388592000001</v>
      </c>
      <c r="T63" s="492"/>
      <c r="V63" s="160">
        <f t="shared" si="22"/>
        <v>4138.3388592000001</v>
      </c>
      <c r="W63" s="7"/>
      <c r="X63" s="7"/>
      <c r="Y63" s="7"/>
      <c r="Z63" s="7"/>
      <c r="AA63" s="365"/>
      <c r="AB63" s="7"/>
    </row>
    <row r="64" spans="1:33" ht="15.75" x14ac:dyDescent="0.25">
      <c r="A64" s="1210" t="s">
        <v>587</v>
      </c>
      <c r="B64" s="52"/>
      <c r="C64" s="53"/>
      <c r="D64" s="52"/>
      <c r="E64" s="1167">
        <f>(1701/12)*6</f>
        <v>850.5</v>
      </c>
      <c r="F64" s="52">
        <f>1701*I64</f>
        <v>391.23</v>
      </c>
      <c r="G64" s="55">
        <v>6</v>
      </c>
      <c r="H64" s="58">
        <f>(H62/1701)*25%</f>
        <v>3.8224074074074075</v>
      </c>
      <c r="I64" s="430">
        <v>0.23</v>
      </c>
      <c r="J64" s="56"/>
      <c r="K64" s="56"/>
      <c r="L64" s="328"/>
      <c r="M64" s="329">
        <f>F64*H64</f>
        <v>1495.4404500000001</v>
      </c>
      <c r="N64" s="688"/>
      <c r="O64" s="688"/>
      <c r="P64" s="44"/>
      <c r="Q64" s="1066">
        <f>M64*H64</f>
        <v>5716.1826534166667</v>
      </c>
      <c r="R64" s="1065">
        <f t="shared" si="11"/>
        <v>1863.4755450138334</v>
      </c>
      <c r="S64" s="1069">
        <f t="shared" si="23"/>
        <v>7579.6581984305003</v>
      </c>
      <c r="T64" s="492"/>
      <c r="V64" s="160">
        <f t="shared" si="22"/>
        <v>7579.6581984305003</v>
      </c>
      <c r="W64" s="7"/>
      <c r="X64" s="7"/>
      <c r="Y64" s="7"/>
      <c r="Z64" s="7"/>
      <c r="AA64" s="365"/>
      <c r="AB64" s="7"/>
    </row>
    <row r="65" spans="1:33" ht="15.75" x14ac:dyDescent="0.25">
      <c r="A65" s="1210" t="s">
        <v>296</v>
      </c>
      <c r="B65" s="52"/>
      <c r="C65" s="53"/>
      <c r="D65" s="52"/>
      <c r="E65" s="54"/>
      <c r="F65" s="52">
        <v>12</v>
      </c>
      <c r="G65" s="55">
        <v>6</v>
      </c>
      <c r="H65" s="58">
        <v>289.06</v>
      </c>
      <c r="I65" s="430"/>
      <c r="J65" s="56"/>
      <c r="K65" s="56"/>
      <c r="L65" s="328"/>
      <c r="M65" s="329">
        <f>F65*H65</f>
        <v>3468.7200000000003</v>
      </c>
      <c r="N65" s="688"/>
      <c r="O65" s="688"/>
      <c r="P65" s="44"/>
      <c r="Q65" s="1066">
        <f>M65*G65</f>
        <v>20812.32</v>
      </c>
      <c r="R65" s="1065">
        <f t="shared" si="11"/>
        <v>6784.8163199999999</v>
      </c>
      <c r="S65" s="1069">
        <f t="shared" si="23"/>
        <v>27597.136319999998</v>
      </c>
      <c r="T65" s="492"/>
      <c r="V65" s="160">
        <f t="shared" si="22"/>
        <v>27597.136319999998</v>
      </c>
      <c r="W65" s="7"/>
      <c r="X65" s="7"/>
      <c r="Y65" s="7"/>
      <c r="Z65" s="7"/>
      <c r="AA65" s="365"/>
      <c r="AB65" s="7"/>
    </row>
    <row r="66" spans="1:33" ht="15.75" x14ac:dyDescent="0.25">
      <c r="A66" s="1210" t="s">
        <v>570</v>
      </c>
      <c r="B66" s="52"/>
      <c r="C66" s="53"/>
      <c r="D66" s="52"/>
      <c r="E66" s="54"/>
      <c r="F66" s="52">
        <v>911.4</v>
      </c>
      <c r="G66" s="55">
        <v>4</v>
      </c>
      <c r="H66" s="58"/>
      <c r="I66" s="430"/>
      <c r="J66" s="56"/>
      <c r="K66" s="56"/>
      <c r="L66" s="328"/>
      <c r="M66" s="1161">
        <f>F66</f>
        <v>911.4</v>
      </c>
      <c r="N66" s="688"/>
      <c r="O66" s="688"/>
      <c r="P66" s="44"/>
      <c r="Q66" s="1066">
        <f>M66*G66</f>
        <v>3645.6</v>
      </c>
      <c r="R66" s="1065">
        <f>Q66*B12</f>
        <v>1188.4656</v>
      </c>
      <c r="S66" s="1069">
        <f t="shared" si="23"/>
        <v>4834.0655999999999</v>
      </c>
      <c r="T66" s="492"/>
      <c r="V66" s="160">
        <f t="shared" si="22"/>
        <v>4834.0655999999999</v>
      </c>
      <c r="W66" s="7"/>
      <c r="X66" s="7"/>
      <c r="Y66" s="7"/>
      <c r="Z66" s="7"/>
      <c r="AA66" s="365"/>
      <c r="AB66" s="7"/>
      <c r="AG66" s="20"/>
    </row>
    <row r="67" spans="1:33" ht="15.75" x14ac:dyDescent="0.25">
      <c r="A67" s="1189" t="s">
        <v>470</v>
      </c>
      <c r="B67" s="889"/>
      <c r="C67" s="53" t="s">
        <v>16</v>
      </c>
      <c r="D67" s="52"/>
      <c r="E67" s="54"/>
      <c r="F67" s="52">
        <v>141.75</v>
      </c>
      <c r="G67" s="55">
        <v>6</v>
      </c>
      <c r="H67" s="58">
        <f>H62/14</f>
        <v>1857.69</v>
      </c>
      <c r="I67" s="430"/>
      <c r="J67" s="56"/>
      <c r="K67" s="56"/>
      <c r="L67" s="328"/>
      <c r="M67" s="329">
        <f>M62/14</f>
        <v>1857.69</v>
      </c>
      <c r="N67" s="688"/>
      <c r="O67" s="688"/>
      <c r="P67" s="44"/>
      <c r="Q67" s="1066">
        <f>M67*G67</f>
        <v>11146.14</v>
      </c>
      <c r="R67" s="1065">
        <f t="shared" si="11"/>
        <v>3633.6416399999998</v>
      </c>
      <c r="S67" s="1069">
        <f t="shared" si="23"/>
        <v>14779.781639999999</v>
      </c>
      <c r="T67" s="492"/>
      <c r="V67" s="160">
        <f t="shared" si="22"/>
        <v>14779.781639999999</v>
      </c>
      <c r="W67" s="7"/>
      <c r="X67" s="7"/>
      <c r="Y67" s="7"/>
      <c r="Z67" s="7"/>
      <c r="AA67" s="365"/>
      <c r="AB67" s="7"/>
    </row>
    <row r="68" spans="1:33" ht="15.75" x14ac:dyDescent="0.25">
      <c r="A68" s="1189" t="s">
        <v>320</v>
      </c>
      <c r="B68" s="52"/>
      <c r="C68" s="53" t="s">
        <v>16</v>
      </c>
      <c r="D68" s="52"/>
      <c r="E68" s="54"/>
      <c r="F68" s="52">
        <v>1</v>
      </c>
      <c r="G68" s="55">
        <v>6</v>
      </c>
      <c r="H68" s="58">
        <v>289.06</v>
      </c>
      <c r="I68" s="430"/>
      <c r="J68" s="56"/>
      <c r="K68" s="56"/>
      <c r="L68" s="328"/>
      <c r="M68" s="329">
        <f>H68</f>
        <v>289.06</v>
      </c>
      <c r="N68" s="688"/>
      <c r="O68" s="688"/>
      <c r="P68" s="44"/>
      <c r="Q68" s="1066">
        <f>H68*6</f>
        <v>1734.3600000000001</v>
      </c>
      <c r="R68" s="1065">
        <f t="shared" si="11"/>
        <v>565.40136000000007</v>
      </c>
      <c r="S68" s="1069">
        <f t="shared" si="23"/>
        <v>2299.7613600000004</v>
      </c>
      <c r="T68" s="492"/>
      <c r="V68" s="160">
        <f t="shared" si="22"/>
        <v>2299.7613600000004</v>
      </c>
      <c r="W68" s="7"/>
      <c r="X68" s="7"/>
      <c r="Y68" s="7"/>
      <c r="Z68" s="7"/>
      <c r="AA68" s="365"/>
      <c r="AB68" s="7"/>
    </row>
    <row r="69" spans="1:33" ht="15.75" x14ac:dyDescent="0.25">
      <c r="A69" s="1189" t="s">
        <v>321</v>
      </c>
      <c r="B69" s="52"/>
      <c r="C69" s="53" t="s">
        <v>16</v>
      </c>
      <c r="D69" s="52"/>
      <c r="E69" s="54"/>
      <c r="F69" s="52">
        <f>F67*I69</f>
        <v>28.35</v>
      </c>
      <c r="G69" s="55">
        <v>6</v>
      </c>
      <c r="H69" s="58">
        <f>H59</f>
        <v>1.5289629629629631</v>
      </c>
      <c r="I69" s="430">
        <v>0.2</v>
      </c>
      <c r="J69" s="56"/>
      <c r="K69" s="56"/>
      <c r="L69" s="328"/>
      <c r="M69" s="329">
        <f>F69*H69</f>
        <v>43.346100000000007</v>
      </c>
      <c r="N69" s="688"/>
      <c r="O69" s="271">
        <v>1552.2249999999999</v>
      </c>
      <c r="P69" s="44"/>
      <c r="Q69" s="1066">
        <f>M69*G69</f>
        <v>260.07660000000004</v>
      </c>
      <c r="R69" s="1065">
        <f t="shared" si="11"/>
        <v>84.78497160000002</v>
      </c>
      <c r="S69" s="1069">
        <f t="shared" si="23"/>
        <v>344.86157160000005</v>
      </c>
      <c r="T69" s="492"/>
      <c r="V69" s="160">
        <f t="shared" si="22"/>
        <v>344.86157160000005</v>
      </c>
      <c r="W69" s="7"/>
      <c r="X69" s="7"/>
      <c r="Y69" s="7"/>
      <c r="Z69" s="7"/>
      <c r="AA69" s="365"/>
      <c r="AB69" s="7"/>
    </row>
    <row r="70" spans="1:33" ht="15.75" x14ac:dyDescent="0.25">
      <c r="A70" s="1236" t="s">
        <v>319</v>
      </c>
      <c r="B70" s="47"/>
      <c r="C70" s="48" t="s">
        <v>16</v>
      </c>
      <c r="D70" s="47"/>
      <c r="E70" s="49"/>
      <c r="F70" s="47">
        <f>F67*I70</f>
        <v>32.602499999999999</v>
      </c>
      <c r="G70" s="1248">
        <v>6</v>
      </c>
      <c r="H70" s="246">
        <f>H64</f>
        <v>3.8224074074074075</v>
      </c>
      <c r="I70" s="1237">
        <v>0.23</v>
      </c>
      <c r="J70" s="446"/>
      <c r="K70" s="446"/>
      <c r="L70" s="51"/>
      <c r="M70" s="329">
        <f>F70*H70</f>
        <v>124.6200375</v>
      </c>
      <c r="N70" s="1222"/>
      <c r="O70" s="689">
        <v>7766.7293823529408</v>
      </c>
      <c r="P70" s="247"/>
      <c r="Q70" s="1169">
        <f>M70*G70</f>
        <v>747.72022500000003</v>
      </c>
      <c r="R70" s="1192">
        <f t="shared" si="11"/>
        <v>243.75679335000001</v>
      </c>
      <c r="S70" s="1069">
        <f t="shared" si="23"/>
        <v>991.47701834999998</v>
      </c>
      <c r="T70" s="492"/>
      <c r="V70" s="160">
        <f t="shared" si="22"/>
        <v>991.47701834999998</v>
      </c>
      <c r="W70" s="7"/>
      <c r="X70" s="7"/>
      <c r="Y70" s="7"/>
      <c r="Z70" s="7"/>
      <c r="AA70" s="365"/>
      <c r="AB70" s="7"/>
    </row>
    <row r="71" spans="1:33" ht="15.75" x14ac:dyDescent="0.25">
      <c r="A71" s="1479" t="s">
        <v>632</v>
      </c>
      <c r="B71" s="1436"/>
      <c r="C71" s="1437"/>
      <c r="D71" s="1436"/>
      <c r="E71" s="1438"/>
      <c r="F71" s="1436"/>
      <c r="G71" s="1439"/>
      <c r="H71" s="1480"/>
      <c r="I71" s="1441"/>
      <c r="J71" s="1470"/>
      <c r="K71" s="1470"/>
      <c r="L71" s="670"/>
      <c r="M71" s="1222">
        <v>3666</v>
      </c>
      <c r="N71" s="1222"/>
      <c r="O71" s="1219"/>
      <c r="P71" s="1443"/>
      <c r="Q71" s="1444">
        <f>M71</f>
        <v>3666</v>
      </c>
      <c r="R71" s="1445">
        <f t="shared" si="11"/>
        <v>1195.116</v>
      </c>
      <c r="S71" s="1069">
        <f t="shared" si="23"/>
        <v>4861.116</v>
      </c>
      <c r="T71" s="492"/>
      <c r="V71" s="1362">
        <f t="shared" si="22"/>
        <v>4861.116</v>
      </c>
      <c r="W71" s="7"/>
      <c r="X71" s="7"/>
      <c r="Y71" s="7"/>
      <c r="Z71" s="7"/>
      <c r="AA71" s="365"/>
      <c r="AB71" s="7"/>
    </row>
    <row r="72" spans="1:33" ht="16.5" thickBot="1" x14ac:dyDescent="0.3">
      <c r="A72" s="1224" t="s">
        <v>583</v>
      </c>
      <c r="B72" s="1225"/>
      <c r="C72" s="1165"/>
      <c r="D72" s="1226"/>
      <c r="E72" s="1227"/>
      <c r="F72" s="1228">
        <v>10206</v>
      </c>
      <c r="G72" s="1249">
        <v>6</v>
      </c>
      <c r="H72" s="1229"/>
      <c r="I72" s="1230"/>
      <c r="J72" s="1231"/>
      <c r="K72" s="1231"/>
      <c r="L72" s="1232"/>
      <c r="M72" s="1233">
        <f>SUM(M73:M81)</f>
        <v>34707.274437199107</v>
      </c>
      <c r="N72" s="1233"/>
      <c r="O72" s="1214"/>
      <c r="P72" s="1234"/>
      <c r="Q72" s="1234">
        <f>SUM(Q73:Q81)</f>
        <v>208243.64662319457</v>
      </c>
      <c r="R72" s="1234">
        <f>SUM(R73:R81)</f>
        <v>67887.428799161455</v>
      </c>
      <c r="S72" s="1235">
        <f>SUM(S73:S81)</f>
        <v>276131.07542235602</v>
      </c>
      <c r="T72" s="492">
        <f>S72</f>
        <v>276131.07542235602</v>
      </c>
      <c r="V72" s="1516">
        <f>SUM(V62:V71)</f>
        <v>274343.13952758047</v>
      </c>
      <c r="W72" s="7"/>
      <c r="X72" s="7"/>
      <c r="Y72" s="7"/>
      <c r="Z72" s="7"/>
      <c r="AA72" s="365"/>
      <c r="AB72" s="7"/>
    </row>
    <row r="73" spans="1:33" ht="15.75" x14ac:dyDescent="0.25">
      <c r="A73" s="215" t="s">
        <v>584</v>
      </c>
      <c r="B73" s="1050"/>
      <c r="C73" s="1164" t="s">
        <v>323</v>
      </c>
      <c r="D73" s="1050"/>
      <c r="E73" s="1052"/>
      <c r="F73" s="1163">
        <v>1701</v>
      </c>
      <c r="G73" s="1242">
        <f>F72/F73</f>
        <v>6</v>
      </c>
      <c r="H73" s="1053">
        <v>26007.66</v>
      </c>
      <c r="I73" s="1054"/>
      <c r="J73" s="1119"/>
      <c r="K73" s="1119"/>
      <c r="L73" s="1055"/>
      <c r="M73" s="665">
        <f>H73</f>
        <v>26007.66</v>
      </c>
      <c r="N73" s="667">
        <f>M73+M74+M75+M76</f>
        <v>31491.97365</v>
      </c>
      <c r="O73" s="271">
        <f>N73</f>
        <v>31491.97365</v>
      </c>
      <c r="P73" s="44" t="s">
        <v>424</v>
      </c>
      <c r="Q73" s="1066">
        <f>M73*G73</f>
        <v>156045.96</v>
      </c>
      <c r="R73" s="1065">
        <f t="shared" si="11"/>
        <v>50870.982960000001</v>
      </c>
      <c r="S73" s="1069">
        <f>Q73+R73</f>
        <v>206916.94295999999</v>
      </c>
      <c r="T73" s="492"/>
      <c r="V73" s="160">
        <f t="shared" ref="V73:V81" si="24">S73</f>
        <v>206916.94295999999</v>
      </c>
      <c r="W73" s="7"/>
      <c r="X73" s="7"/>
      <c r="Y73" s="7"/>
      <c r="Z73" s="7"/>
      <c r="AA73" s="365"/>
      <c r="AB73" s="7"/>
    </row>
    <row r="74" spans="1:33" ht="15.75" x14ac:dyDescent="0.25">
      <c r="A74" s="1210" t="s">
        <v>293</v>
      </c>
      <c r="B74" s="52"/>
      <c r="C74" s="53"/>
      <c r="D74" s="52"/>
      <c r="E74" s="54"/>
      <c r="F74" s="1195">
        <f>1701*I74</f>
        <v>340.20000000000005</v>
      </c>
      <c r="G74" s="55">
        <v>6</v>
      </c>
      <c r="H74" s="58">
        <f>(H73/1701)*10%</f>
        <v>1.5289629629629631</v>
      </c>
      <c r="I74" s="430">
        <v>0.2</v>
      </c>
      <c r="J74" s="56"/>
      <c r="K74" s="56"/>
      <c r="L74" s="328"/>
      <c r="M74" s="329">
        <f>F74*H74</f>
        <v>520.15320000000008</v>
      </c>
      <c r="N74" s="688"/>
      <c r="O74" s="688"/>
      <c r="P74" s="44"/>
      <c r="Q74" s="1066">
        <f t="shared" ref="Q74:Q78" si="25">M74*G74</f>
        <v>3120.9192000000003</v>
      </c>
      <c r="R74" s="1065">
        <f t="shared" si="11"/>
        <v>1017.4196592000002</v>
      </c>
      <c r="S74" s="1069">
        <f t="shared" ref="S74:S81" si="26">Q74+R74</f>
        <v>4138.3388592000001</v>
      </c>
      <c r="T74" s="492"/>
      <c r="U74" s="660"/>
      <c r="V74" s="160">
        <f t="shared" si="24"/>
        <v>4138.3388592000001</v>
      </c>
      <c r="W74" s="7"/>
      <c r="X74" s="7"/>
      <c r="Y74" s="7"/>
      <c r="Z74" s="7"/>
      <c r="AA74" s="365"/>
      <c r="AB74" s="7"/>
    </row>
    <row r="75" spans="1:33" ht="15.75" x14ac:dyDescent="0.25">
      <c r="A75" s="1210" t="s">
        <v>587</v>
      </c>
      <c r="B75" s="52"/>
      <c r="C75" s="53"/>
      <c r="D75" s="52"/>
      <c r="E75" s="54"/>
      <c r="F75" s="1195">
        <f>1701*I75</f>
        <v>391.23</v>
      </c>
      <c r="G75" s="55">
        <v>6</v>
      </c>
      <c r="H75" s="58">
        <f>(H73/1701)*25%</f>
        <v>3.8224074074074075</v>
      </c>
      <c r="I75" s="421">
        <v>0.23</v>
      </c>
      <c r="J75" s="56"/>
      <c r="K75" s="56"/>
      <c r="L75" s="328"/>
      <c r="M75" s="329">
        <f>F75*H75</f>
        <v>1495.4404500000001</v>
      </c>
      <c r="N75" s="688"/>
      <c r="O75" s="688"/>
      <c r="P75" s="44"/>
      <c r="Q75" s="1066">
        <f t="shared" si="25"/>
        <v>8972.6427000000003</v>
      </c>
      <c r="R75" s="1065">
        <f>Q75*B12</f>
        <v>2925.0815202000003</v>
      </c>
      <c r="S75" s="1069">
        <f t="shared" si="26"/>
        <v>11897.724220200002</v>
      </c>
      <c r="T75" s="492"/>
      <c r="V75" s="160">
        <f t="shared" si="24"/>
        <v>11897.724220200002</v>
      </c>
      <c r="W75" s="7"/>
      <c r="X75" s="7"/>
      <c r="Y75" s="7"/>
      <c r="Z75" s="7"/>
      <c r="AA75" s="365"/>
      <c r="AB75" s="7"/>
    </row>
    <row r="76" spans="1:33" ht="15.75" x14ac:dyDescent="0.25">
      <c r="A76" s="1210" t="s">
        <v>296</v>
      </c>
      <c r="B76" s="52"/>
      <c r="C76" s="53"/>
      <c r="D76" s="52"/>
      <c r="E76" s="54"/>
      <c r="F76" s="1195">
        <v>12</v>
      </c>
      <c r="G76" s="55">
        <v>6</v>
      </c>
      <c r="H76" s="58">
        <v>289.06</v>
      </c>
      <c r="I76" s="421"/>
      <c r="J76" s="56"/>
      <c r="K76" s="56"/>
      <c r="L76" s="328"/>
      <c r="M76" s="329">
        <f>F76*H76</f>
        <v>3468.7200000000003</v>
      </c>
      <c r="N76" s="688"/>
      <c r="O76" s="688"/>
      <c r="P76" s="44"/>
      <c r="Q76" s="1066">
        <f t="shared" si="25"/>
        <v>20812.32</v>
      </c>
      <c r="R76" s="1065">
        <f t="shared" si="11"/>
        <v>6784.8163199999999</v>
      </c>
      <c r="S76" s="1069">
        <f t="shared" si="26"/>
        <v>27597.136319999998</v>
      </c>
      <c r="T76" s="492"/>
      <c r="V76" s="160">
        <f t="shared" si="24"/>
        <v>27597.136319999998</v>
      </c>
      <c r="W76" s="7"/>
      <c r="X76" s="7"/>
      <c r="Y76" s="7"/>
      <c r="Z76" s="7"/>
      <c r="AA76" s="365"/>
      <c r="AB76" s="7"/>
    </row>
    <row r="77" spans="1:33" ht="15.75" x14ac:dyDescent="0.25">
      <c r="A77" s="1210" t="s">
        <v>570</v>
      </c>
      <c r="B77" s="52"/>
      <c r="C77" s="53"/>
      <c r="D77" s="52"/>
      <c r="E77" s="54"/>
      <c r="F77" s="1195">
        <v>911.4</v>
      </c>
      <c r="G77" s="55">
        <v>6</v>
      </c>
      <c r="H77" s="58"/>
      <c r="I77" s="421"/>
      <c r="J77" s="56"/>
      <c r="K77" s="56"/>
      <c r="L77" s="328"/>
      <c r="M77" s="1161">
        <f>F77</f>
        <v>911.4</v>
      </c>
      <c r="N77" s="688"/>
      <c r="O77" s="688"/>
      <c r="P77" s="44"/>
      <c r="Q77" s="1066">
        <f t="shared" si="25"/>
        <v>5468.4</v>
      </c>
      <c r="R77" s="1065">
        <f t="shared" si="11"/>
        <v>1782.6984</v>
      </c>
      <c r="S77" s="1069">
        <f t="shared" si="26"/>
        <v>7251.0983999999999</v>
      </c>
      <c r="T77" s="492"/>
      <c r="U77" s="660"/>
      <c r="V77" s="160">
        <f t="shared" si="24"/>
        <v>7251.0983999999999</v>
      </c>
      <c r="W77" s="7"/>
      <c r="X77" s="7"/>
      <c r="Y77" s="7"/>
      <c r="Z77" s="7"/>
      <c r="AA77" s="365"/>
      <c r="AB77" s="7"/>
      <c r="AG77" s="20"/>
    </row>
    <row r="78" spans="1:33" ht="15.75" x14ac:dyDescent="0.25">
      <c r="A78" s="214" t="s">
        <v>329</v>
      </c>
      <c r="B78" s="889">
        <v>1</v>
      </c>
      <c r="C78" s="53"/>
      <c r="D78" s="52"/>
      <c r="E78" s="54"/>
      <c r="F78" s="1195">
        <f>(1701/12)*6</f>
        <v>850.5</v>
      </c>
      <c r="G78" s="55">
        <f>G73*B78</f>
        <v>6</v>
      </c>
      <c r="H78" s="58"/>
      <c r="I78" s="421"/>
      <c r="J78" s="56"/>
      <c r="K78" s="56"/>
      <c r="L78" s="328"/>
      <c r="M78" s="329">
        <f>M73/14</f>
        <v>1857.69</v>
      </c>
      <c r="N78" s="688"/>
      <c r="O78" s="271">
        <f>M78</f>
        <v>1857.69</v>
      </c>
      <c r="P78" s="44"/>
      <c r="Q78" s="1066">
        <f t="shared" si="25"/>
        <v>11146.14</v>
      </c>
      <c r="R78" s="1065">
        <f t="shared" si="11"/>
        <v>3633.6416399999998</v>
      </c>
      <c r="S78" s="1069">
        <f t="shared" si="26"/>
        <v>14779.781639999999</v>
      </c>
      <c r="T78" s="492"/>
      <c r="V78" s="160">
        <f t="shared" si="24"/>
        <v>14779.781639999999</v>
      </c>
      <c r="W78" s="7"/>
      <c r="X78" s="7"/>
      <c r="Y78" s="7"/>
      <c r="Z78" s="7"/>
      <c r="AA78" s="365"/>
      <c r="AB78" s="7"/>
    </row>
    <row r="79" spans="1:33" ht="15.75" x14ac:dyDescent="0.25">
      <c r="A79" s="436" t="s">
        <v>293</v>
      </c>
      <c r="B79" s="47"/>
      <c r="C79" s="48"/>
      <c r="D79" s="47"/>
      <c r="E79" s="49"/>
      <c r="F79" s="1196">
        <f>(1701/12)*I79</f>
        <v>28.35</v>
      </c>
      <c r="G79" s="55">
        <v>6</v>
      </c>
      <c r="H79" s="246">
        <v>1.43</v>
      </c>
      <c r="I79" s="445">
        <v>0.2</v>
      </c>
      <c r="J79" s="446"/>
      <c r="K79" s="446"/>
      <c r="L79" s="610"/>
      <c r="M79" s="329">
        <f>F79*H79</f>
        <v>40.540500000000002</v>
      </c>
      <c r="N79" s="688"/>
      <c r="O79" s="447">
        <f>$M$79</f>
        <v>40.540500000000002</v>
      </c>
      <c r="P79" s="448"/>
      <c r="Q79" s="1072">
        <f>M79*G79</f>
        <v>243.24299999999999</v>
      </c>
      <c r="R79" s="1065">
        <f t="shared" si="11"/>
        <v>79.297218000000001</v>
      </c>
      <c r="S79" s="1069">
        <f t="shared" si="26"/>
        <v>322.54021799999998</v>
      </c>
      <c r="T79" s="492"/>
      <c r="V79" s="160">
        <f t="shared" si="24"/>
        <v>322.54021799999998</v>
      </c>
      <c r="W79" s="7"/>
      <c r="X79" s="7"/>
      <c r="Y79" s="7"/>
      <c r="Z79" s="7"/>
      <c r="AA79" s="365"/>
      <c r="AB79" s="7"/>
      <c r="AG79" s="20"/>
    </row>
    <row r="80" spans="1:33" ht="15.75" x14ac:dyDescent="0.25">
      <c r="A80" s="214" t="s">
        <v>319</v>
      </c>
      <c r="B80" s="52"/>
      <c r="C80" s="53"/>
      <c r="D80" s="52"/>
      <c r="E80" s="54"/>
      <c r="F80" s="1195">
        <f>(F78/6)*I80</f>
        <v>32.602499999999999</v>
      </c>
      <c r="G80" s="55">
        <v>6</v>
      </c>
      <c r="H80" s="58">
        <f>'SALARIS CONVENI 2024'!$E$9</f>
        <v>3.5785687354988402</v>
      </c>
      <c r="I80" s="421">
        <v>0.23</v>
      </c>
      <c r="J80" s="56"/>
      <c r="K80" s="56"/>
      <c r="L80" s="328"/>
      <c r="M80" s="329">
        <f>F80*H80</f>
        <v>116.67028719910094</v>
      </c>
      <c r="N80" s="688"/>
      <c r="O80" s="689">
        <f>M80</f>
        <v>116.67028719910094</v>
      </c>
      <c r="P80" s="247"/>
      <c r="Q80" s="1169">
        <f>O80*G81</f>
        <v>700.02172319460567</v>
      </c>
      <c r="R80" s="1065">
        <f t="shared" si="11"/>
        <v>228.20708176144146</v>
      </c>
      <c r="S80" s="1069">
        <f t="shared" si="26"/>
        <v>928.22880495604716</v>
      </c>
      <c r="T80" s="492"/>
      <c r="V80" s="160">
        <f t="shared" si="24"/>
        <v>928.22880495604716</v>
      </c>
      <c r="W80" s="7"/>
      <c r="X80" s="7"/>
      <c r="Y80" s="7"/>
      <c r="Z80" s="7"/>
      <c r="AA80" s="365"/>
      <c r="AB80" s="7"/>
    </row>
    <row r="81" spans="1:28" ht="16.5" thickBot="1" x14ac:dyDescent="0.3">
      <c r="A81" s="233" t="s">
        <v>328</v>
      </c>
      <c r="B81" s="37"/>
      <c r="C81" s="37"/>
      <c r="D81" s="37"/>
      <c r="E81" s="37"/>
      <c r="F81" s="121">
        <v>1</v>
      </c>
      <c r="G81" s="55">
        <v>6</v>
      </c>
      <c r="H81" s="1145">
        <v>289</v>
      </c>
      <c r="I81" s="37"/>
      <c r="J81" s="37"/>
      <c r="K81" s="37"/>
      <c r="L81" s="9"/>
      <c r="M81" s="1146">
        <f>H81</f>
        <v>289</v>
      </c>
      <c r="N81" s="1147"/>
      <c r="O81" s="1148">
        <f>M81</f>
        <v>289</v>
      </c>
      <c r="P81" s="450"/>
      <c r="Q81" s="1170">
        <f>G81*H81</f>
        <v>1734</v>
      </c>
      <c r="R81" s="1073">
        <f t="shared" si="11"/>
        <v>565.28399999999999</v>
      </c>
      <c r="S81" s="1069">
        <f t="shared" si="26"/>
        <v>2299.2840000000001</v>
      </c>
      <c r="T81" s="492"/>
      <c r="V81" s="1362">
        <f t="shared" si="24"/>
        <v>2299.2840000000001</v>
      </c>
      <c r="W81" s="7"/>
      <c r="X81" s="7"/>
      <c r="Y81" s="7"/>
      <c r="Z81" s="7"/>
      <c r="AA81" s="365"/>
      <c r="AB81" s="7"/>
    </row>
    <row r="82" spans="1:28" ht="16.5" thickBot="1" x14ac:dyDescent="0.3">
      <c r="A82" s="1139" t="s">
        <v>585</v>
      </c>
      <c r="B82" s="1156"/>
      <c r="C82" s="1156"/>
      <c r="D82" s="1156"/>
      <c r="E82" s="1156"/>
      <c r="F82" s="1207">
        <v>10206</v>
      </c>
      <c r="G82" s="1247">
        <v>6</v>
      </c>
      <c r="H82" s="1110"/>
      <c r="I82" s="1156"/>
      <c r="J82" s="1156"/>
      <c r="K82" s="1156"/>
      <c r="L82" s="1157"/>
      <c r="M82" s="1151">
        <f>SUM(M83:M87)</f>
        <v>25381.200000000001</v>
      </c>
      <c r="N82" s="1151"/>
      <c r="O82" s="1113"/>
      <c r="P82" s="1158"/>
      <c r="Q82" s="1158">
        <f>SUM(Q83:Q88)</f>
        <v>156846.19371895061</v>
      </c>
      <c r="R82" s="1158">
        <f>SUM(R83:R88)</f>
        <v>51131.859152377903</v>
      </c>
      <c r="S82" s="1257">
        <f>SUM(S83:S88)</f>
        <v>207978.05287132849</v>
      </c>
      <c r="T82" s="492">
        <f>S82</f>
        <v>207978.05287132849</v>
      </c>
      <c r="V82" s="1516">
        <f>SUM(V73:V81)</f>
        <v>276131.07542235602</v>
      </c>
      <c r="W82" s="7"/>
      <c r="X82" s="7"/>
      <c r="Y82" s="7"/>
      <c r="Z82" s="7"/>
      <c r="AA82" s="365"/>
      <c r="AB82" s="7"/>
    </row>
    <row r="83" spans="1:28" ht="15.75" x14ac:dyDescent="0.25">
      <c r="A83" s="1152" t="s">
        <v>577</v>
      </c>
      <c r="B83" s="3"/>
      <c r="C83" s="3"/>
      <c r="D83" s="3"/>
      <c r="E83" s="3"/>
      <c r="F83" s="1050">
        <v>10206</v>
      </c>
      <c r="G83" s="1242">
        <f>F83/1701</f>
        <v>6</v>
      </c>
      <c r="H83" s="1153">
        <v>23100.28</v>
      </c>
      <c r="I83" s="3"/>
      <c r="J83" s="3"/>
      <c r="K83" s="3"/>
      <c r="L83" s="6"/>
      <c r="M83" s="1154">
        <f>H83</f>
        <v>23100.28</v>
      </c>
      <c r="N83" s="1147"/>
      <c r="O83" s="447"/>
      <c r="P83" s="1155"/>
      <c r="Q83" s="1193">
        <f>M83*G83</f>
        <v>138601.68</v>
      </c>
      <c r="R83" s="1192">
        <f>Q83*B12</f>
        <v>45184.147680000002</v>
      </c>
      <c r="S83" s="1274">
        <f>Q83+R83</f>
        <v>183785.82767999999</v>
      </c>
      <c r="T83" s="492"/>
      <c r="V83" s="160">
        <f t="shared" ref="V83:V88" si="27">S83</f>
        <v>183785.82767999999</v>
      </c>
      <c r="W83" s="7"/>
      <c r="X83" s="7"/>
      <c r="Y83" s="7"/>
      <c r="Z83" s="7"/>
      <c r="AA83" s="365"/>
      <c r="AB83" s="7"/>
    </row>
    <row r="84" spans="1:28" ht="15.75" x14ac:dyDescent="0.25">
      <c r="A84" s="233" t="s">
        <v>293</v>
      </c>
      <c r="B84" s="37"/>
      <c r="C84" s="37"/>
      <c r="D84" s="37"/>
      <c r="E84" s="37"/>
      <c r="F84" s="52">
        <f>1701*I84</f>
        <v>170.10000000000002</v>
      </c>
      <c r="G84" s="55">
        <v>6</v>
      </c>
      <c r="H84" s="1145">
        <f>(H83/1701)*I84</f>
        <v>1.3580411522633744</v>
      </c>
      <c r="I84" s="1250">
        <v>0.1</v>
      </c>
      <c r="J84" s="37"/>
      <c r="K84" s="37"/>
      <c r="L84" s="9"/>
      <c r="M84" s="1146">
        <f>F84*H84</f>
        <v>231.00280000000001</v>
      </c>
      <c r="N84" s="1147"/>
      <c r="O84" s="1148"/>
      <c r="P84" s="450"/>
      <c r="Q84" s="1170">
        <f>M84*G84</f>
        <v>1386.0168000000001</v>
      </c>
      <c r="R84" s="1192">
        <f>Q84*B12</f>
        <v>451.84147680000007</v>
      </c>
      <c r="S84" s="1274">
        <f t="shared" ref="S84:S88" si="28">Q84+R84</f>
        <v>1837.8582768000001</v>
      </c>
      <c r="T84" s="492"/>
      <c r="V84" s="160">
        <f t="shared" si="27"/>
        <v>1837.8582768000001</v>
      </c>
      <c r="W84" s="7"/>
      <c r="X84" s="7"/>
      <c r="Y84" s="7"/>
      <c r="Z84" s="7"/>
      <c r="AA84" s="365"/>
      <c r="AB84" s="7"/>
    </row>
    <row r="85" spans="1:28" ht="15.75" x14ac:dyDescent="0.25">
      <c r="A85" s="233" t="s">
        <v>416</v>
      </c>
      <c r="B85" s="37"/>
      <c r="C85" s="37"/>
      <c r="D85" s="37"/>
      <c r="E85" s="37"/>
      <c r="F85" s="52">
        <f>1701*I85</f>
        <v>255.14999999999998</v>
      </c>
      <c r="G85" s="55">
        <v>6</v>
      </c>
      <c r="H85" s="1145">
        <f>(H83/1701)*25%</f>
        <v>3.395102880658436</v>
      </c>
      <c r="I85" s="1250">
        <v>0.15</v>
      </c>
      <c r="J85" s="37"/>
      <c r="K85" s="37"/>
      <c r="L85" s="9"/>
      <c r="M85" s="1146">
        <f>F85*H85</f>
        <v>866.26049999999987</v>
      </c>
      <c r="N85" s="1147"/>
      <c r="O85" s="1148"/>
      <c r="P85" s="450"/>
      <c r="Q85" s="1170">
        <f>M85*H85</f>
        <v>2941.0435189506165</v>
      </c>
      <c r="R85" s="1221">
        <f>Q85*B12</f>
        <v>958.78018717790098</v>
      </c>
      <c r="S85" s="1274">
        <f t="shared" si="28"/>
        <v>3899.8237061285176</v>
      </c>
      <c r="T85" s="492"/>
      <c r="V85" s="160">
        <f t="shared" si="27"/>
        <v>3899.8237061285176</v>
      </c>
      <c r="W85" s="7"/>
      <c r="X85" s="7"/>
      <c r="Y85" s="7"/>
      <c r="Z85" s="7"/>
      <c r="AA85" s="365"/>
      <c r="AB85" s="7"/>
    </row>
    <row r="86" spans="1:28" ht="15.75" x14ac:dyDescent="0.25">
      <c r="A86" s="232" t="s">
        <v>570</v>
      </c>
      <c r="B86" s="7"/>
      <c r="C86" s="7"/>
      <c r="D86" s="7"/>
      <c r="E86" s="7"/>
      <c r="F86" s="119">
        <v>835.94</v>
      </c>
      <c r="G86" s="1248">
        <v>2</v>
      </c>
      <c r="H86" s="458"/>
      <c r="I86" s="139"/>
      <c r="J86" s="7"/>
      <c r="K86" s="7"/>
      <c r="L86" s="7"/>
      <c r="M86" s="329">
        <f>F86</f>
        <v>835.94</v>
      </c>
      <c r="N86" s="1222"/>
      <c r="O86" s="689"/>
      <c r="P86" s="247"/>
      <c r="Q86" s="1169">
        <f>M86*G86</f>
        <v>1671.88</v>
      </c>
      <c r="R86" s="1192">
        <f>Q86*B12</f>
        <v>545.03288000000009</v>
      </c>
      <c r="S86" s="1274">
        <f t="shared" si="28"/>
        <v>2216.9128800000003</v>
      </c>
      <c r="T86" s="492"/>
      <c r="V86" s="160">
        <f t="shared" si="27"/>
        <v>2216.9128800000003</v>
      </c>
      <c r="W86" s="7"/>
      <c r="X86" s="7"/>
      <c r="Y86" s="7"/>
      <c r="Z86" s="7"/>
      <c r="AA86" s="365"/>
      <c r="AB86" s="7"/>
    </row>
    <row r="87" spans="1:28" ht="15.75" x14ac:dyDescent="0.25">
      <c r="A87" s="1481" t="s">
        <v>632</v>
      </c>
      <c r="B87" s="1482"/>
      <c r="C87" s="1482"/>
      <c r="D87" s="1482"/>
      <c r="E87" s="1482"/>
      <c r="F87" s="1483"/>
      <c r="G87" s="1484">
        <v>2</v>
      </c>
      <c r="H87" s="1485"/>
      <c r="I87" s="1507"/>
      <c r="J87" s="1482"/>
      <c r="K87" s="1508"/>
      <c r="L87" s="1482"/>
      <c r="M87" s="1391">
        <f>25381-(M83+M84+M85+M86)+0.2</f>
        <v>347.71670000000375</v>
      </c>
      <c r="N87" s="1391"/>
      <c r="O87" s="1486"/>
      <c r="P87" s="1487"/>
      <c r="Q87" s="1488">
        <f>M87*G87</f>
        <v>695.43340000000751</v>
      </c>
      <c r="R87" s="1509">
        <f>Q87*B12</f>
        <v>226.71128840000245</v>
      </c>
      <c r="S87" s="1274">
        <f t="shared" si="28"/>
        <v>922.14468840000995</v>
      </c>
      <c r="T87" s="492"/>
      <c r="V87" s="160">
        <f t="shared" si="27"/>
        <v>922.14468840000995</v>
      </c>
      <c r="W87" s="7"/>
      <c r="X87" s="7"/>
      <c r="Y87" s="7"/>
      <c r="Z87" s="7"/>
      <c r="AA87" s="365"/>
      <c r="AB87" s="7"/>
    </row>
    <row r="88" spans="1:28" ht="20.25" customHeight="1" thickBot="1" x14ac:dyDescent="0.3">
      <c r="A88" s="233" t="s">
        <v>627</v>
      </c>
      <c r="B88" s="37"/>
      <c r="C88" s="37" t="s">
        <v>16</v>
      </c>
      <c r="D88" s="37"/>
      <c r="E88" s="37"/>
      <c r="F88" s="121">
        <f>1701/12</f>
        <v>141.75</v>
      </c>
      <c r="G88" s="55">
        <v>6</v>
      </c>
      <c r="H88" s="1145">
        <f>M83/12</f>
        <v>1925.0233333333333</v>
      </c>
      <c r="I88" s="1390"/>
      <c r="J88" s="37"/>
      <c r="K88" s="37"/>
      <c r="L88" s="37"/>
      <c r="M88" s="1146">
        <f>M83/12</f>
        <v>1925.0233333333333</v>
      </c>
      <c r="N88" s="1391"/>
      <c r="O88" s="1148"/>
      <c r="P88" s="450"/>
      <c r="Q88" s="1170">
        <f>M88*G88</f>
        <v>11550.14</v>
      </c>
      <c r="R88" s="1221">
        <f>Q88*B12</f>
        <v>3765.34564</v>
      </c>
      <c r="S88" s="1274">
        <f t="shared" si="28"/>
        <v>15315.485639999999</v>
      </c>
      <c r="T88" s="492"/>
      <c r="V88" s="160">
        <f t="shared" si="27"/>
        <v>15315.485639999999</v>
      </c>
      <c r="W88" s="7"/>
      <c r="X88" s="7"/>
      <c r="Y88" s="7"/>
      <c r="Z88" s="7"/>
      <c r="AA88" s="365"/>
      <c r="AB88" s="7"/>
    </row>
    <row r="89" spans="1:28" ht="15.75" thickBot="1" x14ac:dyDescent="0.3">
      <c r="A89" s="1182" t="s">
        <v>625</v>
      </c>
      <c r="B89" s="1183"/>
      <c r="C89" s="1183"/>
      <c r="D89" s="1183"/>
      <c r="E89" s="1184"/>
      <c r="F89" s="1238">
        <f>F90+F95</f>
        <v>8048.15</v>
      </c>
      <c r="G89" s="1239"/>
      <c r="H89" s="1183"/>
      <c r="I89" s="1183"/>
      <c r="J89" s="1183"/>
      <c r="K89" s="1183"/>
      <c r="L89" s="1183"/>
      <c r="M89" s="1183"/>
      <c r="N89" s="1183"/>
      <c r="O89" s="1183"/>
      <c r="P89" s="1183"/>
      <c r="Q89" s="1477">
        <f>Q90+Q95</f>
        <v>126061.20539999999</v>
      </c>
      <c r="R89" s="1361">
        <f>R90+R95</f>
        <v>41095.952960400005</v>
      </c>
      <c r="S89" s="1190">
        <f>S90+S95</f>
        <v>168690.0143604</v>
      </c>
      <c r="T89" s="653"/>
      <c r="V89" s="1516">
        <f>SUM(V83:V88)</f>
        <v>207978.05287132849</v>
      </c>
      <c r="W89" s="713"/>
      <c r="X89" s="713"/>
      <c r="Y89" s="713"/>
      <c r="Z89" s="713"/>
      <c r="AA89" s="1370"/>
      <c r="AB89" s="7"/>
    </row>
    <row r="90" spans="1:28" ht="15.75" thickBot="1" x14ac:dyDescent="0.3">
      <c r="A90" s="1172" t="s">
        <v>619</v>
      </c>
      <c r="B90" s="1085"/>
      <c r="C90" s="1085"/>
      <c r="D90" s="1085"/>
      <c r="E90" s="1085"/>
      <c r="F90" s="1198">
        <v>6804</v>
      </c>
      <c r="G90" s="1085"/>
      <c r="H90" s="1085"/>
      <c r="I90" s="1085"/>
      <c r="J90" s="1085"/>
      <c r="K90" s="1085"/>
      <c r="L90" s="1085"/>
      <c r="M90" s="1085">
        <f>SUM(M91:M94)</f>
        <v>27206.518599999999</v>
      </c>
      <c r="N90" s="1085">
        <f>N37+N51+N62+N73</f>
        <v>136988.58994999999</v>
      </c>
      <c r="O90" s="1085" t="e">
        <f>O36+O37+O51</f>
        <v>#REF!</v>
      </c>
      <c r="P90" s="1085"/>
      <c r="Q90" s="1476">
        <f>SUM(Q91:Q93)</f>
        <v>107670.0744</v>
      </c>
      <c r="R90" s="1476">
        <f>SUM(R91:R93)</f>
        <v>35100.444254400005</v>
      </c>
      <c r="S90" s="1258">
        <f>SUM(S91:S94)</f>
        <v>144303.37465440002</v>
      </c>
      <c r="T90" s="492">
        <f>S90</f>
        <v>144303.37465440002</v>
      </c>
      <c r="V90" s="1362"/>
      <c r="W90" s="7"/>
      <c r="X90" s="7"/>
      <c r="Y90" s="7"/>
      <c r="Z90" s="7"/>
      <c r="AA90" s="365"/>
      <c r="AB90" s="7"/>
    </row>
    <row r="91" spans="1:28" x14ac:dyDescent="0.25">
      <c r="A91" s="1159" t="s">
        <v>304</v>
      </c>
      <c r="B91" s="1059"/>
      <c r="C91" s="1060"/>
      <c r="D91" s="1059"/>
      <c r="E91" s="1061"/>
      <c r="F91" s="1075">
        <v>1701</v>
      </c>
      <c r="G91" s="1160">
        <v>4</v>
      </c>
      <c r="H91" s="484">
        <v>26007.66</v>
      </c>
      <c r="I91" s="1160"/>
      <c r="J91" s="1105"/>
      <c r="K91" s="1105"/>
      <c r="L91" s="1057"/>
      <c r="M91" s="410">
        <f>M73</f>
        <v>26007.66</v>
      </c>
      <c r="N91" s="667">
        <f>M91+M92</f>
        <v>26267.7366</v>
      </c>
      <c r="O91" s="412" t="e">
        <f>IF(#REF!&gt;N91,#REF!,N91)</f>
        <v>#REF!</v>
      </c>
      <c r="P91" s="413"/>
      <c r="Q91" s="1256">
        <f>M91*G91</f>
        <v>104030.64</v>
      </c>
      <c r="R91" s="1065">
        <f t="shared" si="11"/>
        <v>33913.988640000003</v>
      </c>
      <c r="S91" s="1069">
        <f>Q91+R91</f>
        <v>137944.62864000001</v>
      </c>
      <c r="T91" s="492"/>
      <c r="V91" s="1362">
        <f t="shared" ref="V91:V94" si="29">S91</f>
        <v>137944.62864000001</v>
      </c>
      <c r="W91" s="7"/>
      <c r="X91" s="7"/>
      <c r="Y91" s="7"/>
      <c r="Z91" s="7"/>
      <c r="AA91" s="365"/>
      <c r="AB91" s="7"/>
    </row>
    <row r="92" spans="1:28" ht="15.75" x14ac:dyDescent="0.25">
      <c r="A92" s="1260" t="s">
        <v>293</v>
      </c>
      <c r="B92" s="404"/>
      <c r="C92" s="405"/>
      <c r="D92" s="404"/>
      <c r="E92" s="406"/>
      <c r="F92" s="736">
        <f>F91*10%</f>
        <v>170.10000000000002</v>
      </c>
      <c r="G92" s="434">
        <v>4</v>
      </c>
      <c r="H92" s="407">
        <f>(H91/1701)*10%</f>
        <v>1.5289629629629631</v>
      </c>
      <c r="I92" s="1134">
        <v>0.1</v>
      </c>
      <c r="J92" s="408"/>
      <c r="K92" s="408"/>
      <c r="L92" s="409"/>
      <c r="M92" s="614">
        <f>F92*H92</f>
        <v>260.07660000000004</v>
      </c>
      <c r="N92" s="688"/>
      <c r="O92" s="688"/>
      <c r="P92" s="413"/>
      <c r="Q92" s="1256">
        <f>M92*G92</f>
        <v>1040.3064000000002</v>
      </c>
      <c r="R92" s="1065">
        <f t="shared" si="11"/>
        <v>339.13988640000008</v>
      </c>
      <c r="S92" s="1069">
        <f t="shared" ref="S92:S94" si="30">Q92+R92</f>
        <v>1379.4462864000002</v>
      </c>
      <c r="T92" s="492"/>
      <c r="V92" s="1362">
        <f t="shared" si="29"/>
        <v>1379.4462864000002</v>
      </c>
      <c r="W92" s="7"/>
      <c r="X92" s="7"/>
      <c r="Y92" s="7"/>
      <c r="Z92" s="7"/>
      <c r="AA92" s="365"/>
      <c r="AB92" s="7"/>
    </row>
    <row r="93" spans="1:28" ht="15.75" x14ac:dyDescent="0.25">
      <c r="A93" s="1260" t="s">
        <v>634</v>
      </c>
      <c r="B93" s="404"/>
      <c r="C93" s="405"/>
      <c r="D93" s="404"/>
      <c r="E93" s="406"/>
      <c r="F93" s="736">
        <f>F91*I93</f>
        <v>170.10000000000002</v>
      </c>
      <c r="G93" s="434">
        <v>4</v>
      </c>
      <c r="H93" s="407">
        <v>3.82</v>
      </c>
      <c r="I93" s="1134">
        <v>0.1</v>
      </c>
      <c r="J93" s="408"/>
      <c r="K93" s="408"/>
      <c r="L93" s="409"/>
      <c r="M93" s="614">
        <f>F93*H93</f>
        <v>649.78200000000004</v>
      </c>
      <c r="N93" s="688"/>
      <c r="O93" s="688"/>
      <c r="P93" s="413"/>
      <c r="Q93" s="1256">
        <f>M93*G93</f>
        <v>2599.1280000000002</v>
      </c>
      <c r="R93" s="1065">
        <f>Q93*B12</f>
        <v>847.31572800000004</v>
      </c>
      <c r="S93" s="1069">
        <f t="shared" si="30"/>
        <v>3446.4437280000002</v>
      </c>
      <c r="T93" s="492"/>
      <c r="V93" s="1362">
        <f t="shared" si="29"/>
        <v>3446.4437280000002</v>
      </c>
      <c r="W93" s="7"/>
      <c r="X93" s="7"/>
      <c r="Y93" s="7"/>
      <c r="Z93" s="7"/>
      <c r="AA93" s="365"/>
      <c r="AB93" s="7"/>
    </row>
    <row r="94" spans="1:28" ht="15.75" x14ac:dyDescent="0.25">
      <c r="A94" s="1471" t="s">
        <v>573</v>
      </c>
      <c r="B94" s="404"/>
      <c r="C94" s="405"/>
      <c r="D94" s="404"/>
      <c r="E94" s="406"/>
      <c r="F94" s="736">
        <v>289</v>
      </c>
      <c r="G94" s="434">
        <v>4</v>
      </c>
      <c r="H94" s="407"/>
      <c r="I94" s="1134"/>
      <c r="J94" s="408"/>
      <c r="K94" s="408"/>
      <c r="L94" s="409"/>
      <c r="M94" s="1472">
        <f>F94</f>
        <v>289</v>
      </c>
      <c r="N94" s="688"/>
      <c r="O94" s="688"/>
      <c r="P94" s="413"/>
      <c r="Q94" s="1256">
        <f>M94*G94</f>
        <v>1156</v>
      </c>
      <c r="R94" s="1065">
        <f>Q94*B12</f>
        <v>376.85599999999999</v>
      </c>
      <c r="S94" s="1069">
        <f t="shared" si="30"/>
        <v>1532.856</v>
      </c>
      <c r="T94" s="492"/>
      <c r="V94" s="1362">
        <f t="shared" si="29"/>
        <v>1532.856</v>
      </c>
      <c r="W94" s="7"/>
      <c r="X94" s="7"/>
      <c r="Y94" s="7"/>
      <c r="Z94" s="7"/>
      <c r="AA94" s="365"/>
      <c r="AB94" s="7"/>
    </row>
    <row r="95" spans="1:28" ht="15.75" x14ac:dyDescent="0.25">
      <c r="A95" s="1259" t="s">
        <v>620</v>
      </c>
      <c r="B95" s="1173"/>
      <c r="C95" s="1174"/>
      <c r="D95" s="1173"/>
      <c r="E95" s="1175"/>
      <c r="F95" s="1263">
        <v>1244.1500000000001</v>
      </c>
      <c r="G95" s="1176">
        <v>3</v>
      </c>
      <c r="H95" s="1176"/>
      <c r="I95" s="1176"/>
      <c r="J95" s="1177"/>
      <c r="K95" s="1177"/>
      <c r="L95" s="1178"/>
      <c r="M95" s="1264">
        <f>M96</f>
        <v>6130.3769999999995</v>
      </c>
      <c r="N95" s="1179"/>
      <c r="O95" s="1180">
        <f>(M95/12)*3.3</f>
        <v>1685.8536749999998</v>
      </c>
      <c r="P95" s="1181"/>
      <c r="Q95" s="1181">
        <f>Q96</f>
        <v>18391.130999999998</v>
      </c>
      <c r="R95" s="1181">
        <f>R96</f>
        <v>5995.5087059999996</v>
      </c>
      <c r="S95" s="1262">
        <f>S96</f>
        <v>24386.639705999998</v>
      </c>
      <c r="T95" s="492">
        <f>S95</f>
        <v>24386.639705999998</v>
      </c>
      <c r="V95" s="1516">
        <f>SUM(V91:V94)</f>
        <v>144303.37465440002</v>
      </c>
      <c r="W95" s="7"/>
      <c r="X95" s="7"/>
      <c r="Y95" s="7"/>
      <c r="Z95" s="7"/>
      <c r="AA95" s="365"/>
      <c r="AB95" s="7"/>
    </row>
    <row r="96" spans="1:28" ht="20.25" customHeight="1" thickBot="1" x14ac:dyDescent="0.3">
      <c r="A96" s="1513" t="s">
        <v>635</v>
      </c>
      <c r="B96" s="1251"/>
      <c r="C96" s="1252"/>
      <c r="D96" s="1251"/>
      <c r="E96" s="1253"/>
      <c r="F96" s="1251">
        <f>F95/G95</f>
        <v>414.7166666666667</v>
      </c>
      <c r="G96" s="1145">
        <v>3</v>
      </c>
      <c r="H96" s="1145">
        <f>H73/14*3.3</f>
        <v>6130.3769999999995</v>
      </c>
      <c r="I96" s="1145"/>
      <c r="J96" s="1254"/>
      <c r="K96" s="1254"/>
      <c r="L96" s="1255"/>
      <c r="M96" s="1265">
        <f>H96</f>
        <v>6130.3769999999995</v>
      </c>
      <c r="N96" s="1266"/>
      <c r="O96" s="1267"/>
      <c r="P96" s="1268"/>
      <c r="Q96" s="1269">
        <f>M96*G96</f>
        <v>18391.130999999998</v>
      </c>
      <c r="R96" s="1270">
        <f>Q96*B12</f>
        <v>5995.5087059999996</v>
      </c>
      <c r="S96" s="1074">
        <f>SUM(Q96:R96)</f>
        <v>24386.639705999998</v>
      </c>
      <c r="T96" s="492"/>
      <c r="V96" s="160">
        <f>$S$96</f>
        <v>24386.639705999998</v>
      </c>
      <c r="W96" s="7"/>
      <c r="X96" s="7"/>
      <c r="Y96" s="7"/>
      <c r="Z96" s="7"/>
      <c r="AA96" s="365"/>
      <c r="AB96" s="7"/>
    </row>
    <row r="97" spans="1:87" s="574" customFormat="1" ht="15.75" thickBot="1" x14ac:dyDescent="0.3">
      <c r="A97" s="1182" t="s">
        <v>642</v>
      </c>
      <c r="B97" s="1183"/>
      <c r="C97" s="1183"/>
      <c r="D97" s="1183"/>
      <c r="E97" s="1184"/>
      <c r="F97" s="1238"/>
      <c r="G97" s="1239"/>
      <c r="H97" s="1183"/>
      <c r="I97" s="1183"/>
      <c r="J97" s="1183"/>
      <c r="K97" s="1183"/>
      <c r="L97" s="1183"/>
      <c r="M97" s="1183"/>
      <c r="N97" s="1183"/>
      <c r="O97" s="1183"/>
      <c r="P97" s="1183"/>
      <c r="Q97" s="1477">
        <f>Q98</f>
        <v>227236.78510615326</v>
      </c>
      <c r="R97" s="1361">
        <f>R98</f>
        <v>74079.191944605976</v>
      </c>
      <c r="S97" s="1477">
        <f>S98</f>
        <v>301315.97705075913</v>
      </c>
      <c r="T97" s="492"/>
      <c r="U97" s="2"/>
      <c r="V97" s="1516">
        <f>SUM(V96)</f>
        <v>24386.639705999998</v>
      </c>
      <c r="W97" s="713"/>
      <c r="X97" s="713"/>
      <c r="Y97" s="713"/>
      <c r="Z97" s="713"/>
      <c r="AA97" s="1370"/>
      <c r="AB97" s="713"/>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row>
    <row r="98" spans="1:87" ht="16.5" thickBot="1" x14ac:dyDescent="0.3">
      <c r="A98" s="1273" t="s">
        <v>677</v>
      </c>
      <c r="B98" s="1107"/>
      <c r="C98" s="1108"/>
      <c r="D98" s="1107"/>
      <c r="E98" s="1109"/>
      <c r="F98" s="1199">
        <f>F99+F100+F101+F103+F106</f>
        <v>15309</v>
      </c>
      <c r="G98" s="1110"/>
      <c r="H98" s="1110"/>
      <c r="I98" s="1110"/>
      <c r="J98" s="1111"/>
      <c r="K98" s="1111"/>
      <c r="L98" s="1112"/>
      <c r="M98" s="1272"/>
      <c r="N98" s="1151"/>
      <c r="O98" s="1113"/>
      <c r="P98" s="1144"/>
      <c r="Q98" s="1234">
        <f>SUM(Q99:Q111)</f>
        <v>227236.78510615326</v>
      </c>
      <c r="R98" s="1234">
        <f>SUM(R99:R111)</f>
        <v>74079.191944605976</v>
      </c>
      <c r="S98" s="1510">
        <f>SUM(S99:S111)</f>
        <v>301315.97705075913</v>
      </c>
      <c r="T98" s="492">
        <f>S98</f>
        <v>301315.97705075913</v>
      </c>
      <c r="V98" s="160"/>
      <c r="W98" s="7"/>
      <c r="X98" s="7"/>
      <c r="Y98" s="7"/>
      <c r="Z98" s="7"/>
      <c r="AA98" s="365"/>
      <c r="AB98" s="7"/>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row>
    <row r="99" spans="1:87" x14ac:dyDescent="0.25">
      <c r="A99" s="1271" t="s">
        <v>626</v>
      </c>
      <c r="B99" s="1050"/>
      <c r="C99" s="1051"/>
      <c r="D99" s="1050"/>
      <c r="E99" s="1052"/>
      <c r="F99" s="1140">
        <v>1701</v>
      </c>
      <c r="G99" s="1141">
        <v>1</v>
      </c>
      <c r="H99" s="1053">
        <v>23100</v>
      </c>
      <c r="I99" s="1242"/>
      <c r="J99" s="1119"/>
      <c r="K99" s="1119"/>
      <c r="L99" s="1055"/>
      <c r="M99" s="268">
        <f t="shared" ref="M99:M104" si="31">H99</f>
        <v>23100</v>
      </c>
      <c r="N99" s="667">
        <f>M99</f>
        <v>23100</v>
      </c>
      <c r="O99" s="271" t="e">
        <f>IF(#REF!&gt;N99,#REF!,N99)</f>
        <v>#REF!</v>
      </c>
      <c r="P99" s="44"/>
      <c r="Q99" s="1066">
        <f t="shared" ref="Q99:Q103" si="32">M99*G99</f>
        <v>23100</v>
      </c>
      <c r="R99" s="1065">
        <f t="shared" si="11"/>
        <v>7530.6</v>
      </c>
      <c r="S99" s="1069">
        <f>Q99+R99</f>
        <v>30630.6</v>
      </c>
      <c r="T99" s="492"/>
      <c r="V99" s="160">
        <f t="shared" ref="V99:V111" si="33">S99</f>
        <v>30630.6</v>
      </c>
      <c r="W99" s="7"/>
      <c r="X99" s="7"/>
      <c r="Y99" s="7"/>
      <c r="Z99" s="7"/>
      <c r="AA99" s="365"/>
      <c r="AB99" s="7"/>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row>
    <row r="100" spans="1:87" x14ac:dyDescent="0.25">
      <c r="A100" s="214" t="s">
        <v>636</v>
      </c>
      <c r="B100" s="52"/>
      <c r="C100" s="53"/>
      <c r="D100" s="52"/>
      <c r="E100" s="54"/>
      <c r="F100" s="1189">
        <v>3402</v>
      </c>
      <c r="G100" s="417">
        <v>2</v>
      </c>
      <c r="H100" s="58">
        <v>23100</v>
      </c>
      <c r="I100" s="55"/>
      <c r="J100" s="56"/>
      <c r="K100" s="56"/>
      <c r="L100" s="328"/>
      <c r="M100" s="269">
        <f t="shared" si="31"/>
        <v>23100</v>
      </c>
      <c r="N100" s="667"/>
      <c r="O100" s="271"/>
      <c r="P100" s="44"/>
      <c r="Q100" s="1066">
        <f t="shared" si="32"/>
        <v>46200</v>
      </c>
      <c r="R100" s="1065">
        <f>Q100*B12</f>
        <v>15061.2</v>
      </c>
      <c r="S100" s="1069">
        <f t="shared" ref="S100:S111" si="34">Q100+R100</f>
        <v>61261.2</v>
      </c>
      <c r="T100" s="492"/>
      <c r="V100" s="160">
        <f t="shared" si="33"/>
        <v>61261.2</v>
      </c>
      <c r="W100" s="7"/>
      <c r="X100" s="7"/>
      <c r="Y100" s="7"/>
      <c r="Z100" s="7"/>
      <c r="AA100" s="365"/>
      <c r="AB100" s="7"/>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row>
    <row r="101" spans="1:87" x14ac:dyDescent="0.25">
      <c r="A101" s="214" t="s">
        <v>637</v>
      </c>
      <c r="B101" s="52"/>
      <c r="C101" s="53"/>
      <c r="D101" s="52"/>
      <c r="E101" s="54"/>
      <c r="F101" s="1189">
        <v>3402</v>
      </c>
      <c r="G101" s="417">
        <v>2</v>
      </c>
      <c r="H101" s="58">
        <v>23100</v>
      </c>
      <c r="I101" s="55"/>
      <c r="J101" s="56"/>
      <c r="K101" s="56"/>
      <c r="L101" s="328"/>
      <c r="M101" s="269">
        <f t="shared" si="31"/>
        <v>23100</v>
      </c>
      <c r="N101" s="667"/>
      <c r="O101" s="271"/>
      <c r="P101" s="44"/>
      <c r="Q101" s="1066">
        <f t="shared" si="32"/>
        <v>46200</v>
      </c>
      <c r="R101" s="1065">
        <f>Q101*B12</f>
        <v>15061.2</v>
      </c>
      <c r="S101" s="1069">
        <f t="shared" si="34"/>
        <v>61261.2</v>
      </c>
      <c r="T101" s="492"/>
      <c r="V101" s="160">
        <f t="shared" si="33"/>
        <v>61261.2</v>
      </c>
      <c r="W101" s="7"/>
      <c r="X101" s="7"/>
      <c r="Y101" s="7"/>
      <c r="Z101" s="7"/>
      <c r="AA101" s="365"/>
      <c r="AB101" s="7"/>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row>
    <row r="102" spans="1:87" x14ac:dyDescent="0.25">
      <c r="A102" s="214" t="s">
        <v>638</v>
      </c>
      <c r="B102" s="52"/>
      <c r="C102" s="53"/>
      <c r="D102" s="52"/>
      <c r="E102" s="54"/>
      <c r="F102" s="1189">
        <f>F101/12</f>
        <v>283.5</v>
      </c>
      <c r="G102" s="417">
        <v>2</v>
      </c>
      <c r="H102" s="58">
        <v>1650</v>
      </c>
      <c r="I102" s="55"/>
      <c r="J102" s="56"/>
      <c r="K102" s="56"/>
      <c r="L102" s="328"/>
      <c r="M102" s="269">
        <f t="shared" si="31"/>
        <v>1650</v>
      </c>
      <c r="N102" s="667"/>
      <c r="O102" s="271"/>
      <c r="P102" s="44"/>
      <c r="Q102" s="1066">
        <f t="shared" si="32"/>
        <v>3300</v>
      </c>
      <c r="R102" s="1065">
        <f>Q102*B12</f>
        <v>1075.8</v>
      </c>
      <c r="S102" s="1069">
        <f t="shared" si="34"/>
        <v>4375.8</v>
      </c>
      <c r="T102" s="492"/>
      <c r="V102" s="160">
        <f t="shared" si="33"/>
        <v>4375.8</v>
      </c>
      <c r="W102" s="7"/>
      <c r="X102" s="7"/>
      <c r="Y102" s="7"/>
      <c r="Z102" s="7"/>
      <c r="AA102" s="365"/>
      <c r="AB102" s="7"/>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row>
    <row r="103" spans="1:87" x14ac:dyDescent="0.25">
      <c r="A103" s="214" t="s">
        <v>307</v>
      </c>
      <c r="B103" s="52"/>
      <c r="C103" s="53"/>
      <c r="D103" s="52"/>
      <c r="E103" s="54"/>
      <c r="F103" s="52">
        <v>5103</v>
      </c>
      <c r="G103" s="58">
        <v>3</v>
      </c>
      <c r="H103" s="58">
        <v>26829</v>
      </c>
      <c r="I103" s="55"/>
      <c r="J103" s="56"/>
      <c r="K103" s="56"/>
      <c r="L103" s="328"/>
      <c r="M103" s="269">
        <f t="shared" si="31"/>
        <v>26829</v>
      </c>
      <c r="N103" s="667">
        <f>M103</f>
        <v>26829</v>
      </c>
      <c r="O103" s="271" t="e">
        <f>IF(#REF!&gt;N103,#REF!,N103)</f>
        <v>#REF!</v>
      </c>
      <c r="P103" s="44"/>
      <c r="Q103" s="1066">
        <f t="shared" si="32"/>
        <v>80487</v>
      </c>
      <c r="R103" s="1065">
        <f t="shared" si="11"/>
        <v>26238.762000000002</v>
      </c>
      <c r="S103" s="1069">
        <f t="shared" si="34"/>
        <v>106725.762</v>
      </c>
      <c r="T103" s="492"/>
      <c r="V103" s="160">
        <f t="shared" si="33"/>
        <v>106725.762</v>
      </c>
      <c r="W103" s="7"/>
      <c r="X103" s="7"/>
      <c r="Y103" s="7"/>
      <c r="Z103" s="7"/>
      <c r="AA103" s="365"/>
      <c r="AB103" s="7"/>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row>
    <row r="104" spans="1:87" x14ac:dyDescent="0.25">
      <c r="A104" s="214" t="s">
        <v>641</v>
      </c>
      <c r="B104" s="52"/>
      <c r="C104" s="53"/>
      <c r="D104" s="52"/>
      <c r="E104" s="54"/>
      <c r="F104" s="52"/>
      <c r="G104" s="58">
        <v>1</v>
      </c>
      <c r="H104" s="58">
        <v>911.4</v>
      </c>
      <c r="I104" s="1473">
        <f>7.5/38</f>
        <v>0.19736842105263158</v>
      </c>
      <c r="J104" s="1475">
        <f>H104*I104</f>
        <v>179.88157894736841</v>
      </c>
      <c r="K104" s="56"/>
      <c r="L104" s="328"/>
      <c r="M104" s="269">
        <f t="shared" si="31"/>
        <v>911.4</v>
      </c>
      <c r="N104" s="667"/>
      <c r="O104" s="271"/>
      <c r="P104" s="44"/>
      <c r="Q104" s="1066">
        <f>M104*G104+J104</f>
        <v>1091.2815789473684</v>
      </c>
      <c r="R104" s="1065">
        <f>Q104*B12</f>
        <v>355.75779473684213</v>
      </c>
      <c r="S104" s="1069">
        <f t="shared" si="34"/>
        <v>1447.0393736842107</v>
      </c>
      <c r="T104" s="492"/>
      <c r="V104" s="160">
        <f t="shared" si="33"/>
        <v>1447.0393736842107</v>
      </c>
      <c r="W104" s="7"/>
      <c r="X104" s="7"/>
      <c r="Y104" s="7"/>
      <c r="Z104" s="7"/>
      <c r="AA104" s="365"/>
      <c r="AB104" s="7"/>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row>
    <row r="105" spans="1:87" x14ac:dyDescent="0.25">
      <c r="A105" s="214" t="s">
        <v>632</v>
      </c>
      <c r="B105" s="52"/>
      <c r="C105" s="53"/>
      <c r="D105" s="52"/>
      <c r="E105" s="54"/>
      <c r="F105" s="52"/>
      <c r="G105" s="58"/>
      <c r="H105" s="58"/>
      <c r="I105" s="58"/>
      <c r="J105" s="56"/>
      <c r="K105" s="56"/>
      <c r="L105" s="328"/>
      <c r="M105" s="269">
        <f>30913.32-M104-M103</f>
        <v>3172.9199999999983</v>
      </c>
      <c r="N105" s="667"/>
      <c r="O105" s="271"/>
      <c r="P105" s="44"/>
      <c r="Q105" s="1474">
        <f>M105</f>
        <v>3172.9199999999983</v>
      </c>
      <c r="R105" s="1065">
        <f>M105*B12</f>
        <v>1034.3719199999994</v>
      </c>
      <c r="S105" s="1069">
        <f t="shared" si="34"/>
        <v>4207.2919199999978</v>
      </c>
      <c r="T105" s="492"/>
      <c r="V105" s="160">
        <f t="shared" si="33"/>
        <v>4207.2919199999978</v>
      </c>
      <c r="W105" s="7"/>
      <c r="X105" s="7"/>
      <c r="Y105" s="7"/>
      <c r="Z105" s="7"/>
      <c r="AA105" s="365"/>
      <c r="AB105" s="7"/>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row>
    <row r="106" spans="1:87" x14ac:dyDescent="0.25">
      <c r="A106" s="436" t="s">
        <v>310</v>
      </c>
      <c r="B106" s="47"/>
      <c r="C106" s="48"/>
      <c r="D106" s="47"/>
      <c r="E106" s="49"/>
      <c r="F106" s="47">
        <v>1701</v>
      </c>
      <c r="G106" s="246">
        <v>1.0005882352941176</v>
      </c>
      <c r="H106" s="246">
        <v>20637.259999999998</v>
      </c>
      <c r="I106" s="246"/>
      <c r="J106" s="50"/>
      <c r="K106" s="50"/>
      <c r="L106" s="610"/>
      <c r="M106" s="269">
        <f>H106</f>
        <v>20637.259999999998</v>
      </c>
      <c r="N106" s="667">
        <f>M106+M108+M107</f>
        <v>20972.615474999999</v>
      </c>
      <c r="O106" s="271" t="e">
        <f>IF(#REF!&gt;N106,#REF!,N106)</f>
        <v>#REF!</v>
      </c>
      <c r="P106" s="677"/>
      <c r="Q106" s="1261">
        <f>M106*G106</f>
        <v>20649.39956470588</v>
      </c>
      <c r="R106" s="1065">
        <f t="shared" si="11"/>
        <v>6731.704258094117</v>
      </c>
      <c r="S106" s="1069">
        <f t="shared" si="34"/>
        <v>27381.103822799996</v>
      </c>
      <c r="T106" s="492"/>
      <c r="V106" s="160">
        <f t="shared" si="33"/>
        <v>27381.103822799996</v>
      </c>
      <c r="W106" s="7"/>
      <c r="X106" s="7"/>
      <c r="Y106" s="7"/>
      <c r="Z106" s="7"/>
      <c r="AA106" s="365"/>
      <c r="AB106" s="7"/>
    </row>
    <row r="107" spans="1:87" ht="15.75" x14ac:dyDescent="0.25">
      <c r="A107" s="1209" t="s">
        <v>293</v>
      </c>
      <c r="B107" s="47"/>
      <c r="C107" s="48"/>
      <c r="D107" s="47"/>
      <c r="E107" s="49"/>
      <c r="F107" s="47">
        <v>170.10000000000002</v>
      </c>
      <c r="G107" s="7">
        <v>1</v>
      </c>
      <c r="H107" s="246">
        <v>1.2132427983539094</v>
      </c>
      <c r="I107" s="445">
        <v>0.1</v>
      </c>
      <c r="J107" s="50"/>
      <c r="K107" s="50"/>
      <c r="L107" s="610"/>
      <c r="M107" s="269">
        <f>F107*H107</f>
        <v>206.37260000000001</v>
      </c>
      <c r="N107" s="268"/>
      <c r="O107" s="688"/>
      <c r="P107" s="677"/>
      <c r="Q107" s="1261">
        <f>M107</f>
        <v>206.37260000000001</v>
      </c>
      <c r="R107" s="1065">
        <f t="shared" si="11"/>
        <v>67.277467600000008</v>
      </c>
      <c r="S107" s="1069">
        <f t="shared" si="34"/>
        <v>273.6500676</v>
      </c>
      <c r="T107" s="492"/>
      <c r="V107" s="160">
        <f t="shared" si="33"/>
        <v>273.6500676</v>
      </c>
      <c r="W107" s="7"/>
      <c r="X107" s="7"/>
      <c r="Y107" s="7"/>
      <c r="Z107" s="7"/>
      <c r="AA107" s="365"/>
      <c r="AB107" s="7"/>
    </row>
    <row r="108" spans="1:87" ht="15.75" x14ac:dyDescent="0.25">
      <c r="A108" s="1209" t="s">
        <v>416</v>
      </c>
      <c r="B108" s="47"/>
      <c r="C108" s="48"/>
      <c r="D108" s="47"/>
      <c r="E108" s="49"/>
      <c r="F108" s="47">
        <v>42.525000000000006</v>
      </c>
      <c r="G108" s="7">
        <v>1</v>
      </c>
      <c r="H108" s="246">
        <v>3.0331069958847734</v>
      </c>
      <c r="I108" s="445">
        <v>0.1</v>
      </c>
      <c r="J108" s="50"/>
      <c r="K108" s="50"/>
      <c r="L108" s="610"/>
      <c r="M108" s="269">
        <f>F108*H108</f>
        <v>128.98287500000001</v>
      </c>
      <c r="N108" s="268"/>
      <c r="O108" s="688"/>
      <c r="P108" s="677"/>
      <c r="Q108" s="1261">
        <f>M108</f>
        <v>128.98287500000001</v>
      </c>
      <c r="R108" s="1065">
        <f t="shared" si="11"/>
        <v>42.048417250000007</v>
      </c>
      <c r="S108" s="1069">
        <f t="shared" si="34"/>
        <v>171.03129225000001</v>
      </c>
      <c r="T108" s="492"/>
      <c r="V108" s="160">
        <f t="shared" si="33"/>
        <v>171.03129225000001</v>
      </c>
      <c r="W108" s="7"/>
      <c r="X108" s="7"/>
      <c r="Y108" s="7"/>
      <c r="Z108" s="7"/>
      <c r="AA108" s="365"/>
      <c r="AB108" s="7"/>
    </row>
    <row r="109" spans="1:87" ht="15.75" x14ac:dyDescent="0.25">
      <c r="A109" s="1209" t="s">
        <v>639</v>
      </c>
      <c r="B109" s="47"/>
      <c r="C109" s="48"/>
      <c r="D109" s="47"/>
      <c r="E109" s="49"/>
      <c r="F109" s="47">
        <v>1</v>
      </c>
      <c r="G109" s="7"/>
      <c r="H109" s="246">
        <v>760.48</v>
      </c>
      <c r="I109" s="445"/>
      <c r="J109" s="50"/>
      <c r="K109" s="50"/>
      <c r="L109" s="610"/>
      <c r="M109" s="269">
        <f>H109</f>
        <v>760.48</v>
      </c>
      <c r="N109" s="268"/>
      <c r="O109" s="688"/>
      <c r="P109" s="677"/>
      <c r="Q109" s="1261">
        <f>M109</f>
        <v>760.48</v>
      </c>
      <c r="R109" s="1065">
        <f>Q109*B12</f>
        <v>247.91648000000001</v>
      </c>
      <c r="S109" s="1069">
        <f t="shared" si="34"/>
        <v>1008.39648</v>
      </c>
      <c r="T109" s="492"/>
      <c r="V109" s="160">
        <f t="shared" si="33"/>
        <v>1008.39648</v>
      </c>
      <c r="W109" s="7"/>
      <c r="X109" s="7"/>
      <c r="Y109" s="7"/>
      <c r="Z109" s="7"/>
      <c r="AA109" s="365"/>
      <c r="AB109" s="7"/>
    </row>
    <row r="110" spans="1:87" ht="15.75" x14ac:dyDescent="0.25">
      <c r="A110" s="1435" t="s">
        <v>632</v>
      </c>
      <c r="B110" s="1436"/>
      <c r="C110" s="1437"/>
      <c r="D110" s="1436"/>
      <c r="E110" s="1438"/>
      <c r="F110" s="1436"/>
      <c r="G110" s="571"/>
      <c r="H110" s="1480"/>
      <c r="I110" s="1490"/>
      <c r="J110" s="1442"/>
      <c r="K110" s="1442"/>
      <c r="L110" s="1491"/>
      <c r="M110" s="675">
        <f>22175.4-M106-M107-M108-M109</f>
        <v>442.3045250000032</v>
      </c>
      <c r="N110" s="673"/>
      <c r="O110" s="688"/>
      <c r="P110" s="1492"/>
      <c r="Q110" s="1493">
        <f>M110</f>
        <v>442.3045250000032</v>
      </c>
      <c r="R110" s="1494">
        <f>Q110*B12</f>
        <v>144.19127515000105</v>
      </c>
      <c r="S110" s="1069">
        <f t="shared" si="34"/>
        <v>586.49580015000424</v>
      </c>
      <c r="T110" s="492"/>
      <c r="V110" s="160">
        <f t="shared" si="33"/>
        <v>586.49580015000424</v>
      </c>
      <c r="W110" s="7"/>
      <c r="X110" s="7"/>
      <c r="Y110" s="7"/>
      <c r="Z110" s="7"/>
      <c r="AA110" s="365"/>
      <c r="AB110" s="7"/>
      <c r="AG110" s="20"/>
    </row>
    <row r="111" spans="1:87" ht="16.5" customHeight="1" thickBot="1" x14ac:dyDescent="0.3">
      <c r="A111" s="1209" t="s">
        <v>640</v>
      </c>
      <c r="B111" s="47"/>
      <c r="C111" s="464"/>
      <c r="D111" s="47"/>
      <c r="E111" s="49"/>
      <c r="F111" s="47">
        <v>141.75</v>
      </c>
      <c r="G111" s="246">
        <v>1</v>
      </c>
      <c r="H111" s="246">
        <v>1498.0439624999999</v>
      </c>
      <c r="I111" s="879"/>
      <c r="J111" s="50"/>
      <c r="K111" s="50"/>
      <c r="L111" s="51"/>
      <c r="M111" s="269">
        <f>H111</f>
        <v>1498.0439624999999</v>
      </c>
      <c r="N111" s="268"/>
      <c r="O111" s="271"/>
      <c r="P111" s="677"/>
      <c r="Q111" s="1261">
        <f>M111</f>
        <v>1498.0439624999999</v>
      </c>
      <c r="R111" s="1065">
        <f t="shared" si="11"/>
        <v>488.36233177499997</v>
      </c>
      <c r="S111" s="1069">
        <f t="shared" si="34"/>
        <v>1986.4062942749999</v>
      </c>
      <c r="T111" s="492"/>
      <c r="V111" s="160">
        <f t="shared" si="33"/>
        <v>1986.4062942749999</v>
      </c>
      <c r="W111" s="7"/>
      <c r="X111" s="7"/>
      <c r="Y111" s="7"/>
      <c r="Z111" s="7"/>
      <c r="AA111" s="365"/>
      <c r="AB111" s="7"/>
      <c r="AG111" s="20"/>
    </row>
    <row r="112" spans="1:87" ht="15.75" customHeight="1" thickBot="1" x14ac:dyDescent="0.3">
      <c r="A112" s="1182" t="s">
        <v>653</v>
      </c>
      <c r="B112" s="1183"/>
      <c r="C112" s="1183"/>
      <c r="D112" s="1183"/>
      <c r="E112" s="1184"/>
      <c r="F112" s="1238"/>
      <c r="G112" s="1239"/>
      <c r="H112" s="1183"/>
      <c r="I112" s="1183"/>
      <c r="J112" s="1183"/>
      <c r="K112" s="1183"/>
      <c r="L112" s="1183"/>
      <c r="M112" s="1183"/>
      <c r="N112" s="1183"/>
      <c r="O112" s="1183"/>
      <c r="P112" s="1185"/>
      <c r="Q112" s="1430">
        <f>Q113</f>
        <v>44434</v>
      </c>
      <c r="R112" s="1430">
        <f t="shared" ref="R112:S112" si="35">R113</f>
        <v>14850.95</v>
      </c>
      <c r="S112" s="1430">
        <f t="shared" si="35"/>
        <v>59284.950000000004</v>
      </c>
      <c r="T112" s="492"/>
      <c r="V112" s="1516">
        <f>SUM(V99:V111)</f>
        <v>301315.97705075913</v>
      </c>
      <c r="W112" s="7"/>
      <c r="X112" s="7"/>
      <c r="Y112" s="7"/>
      <c r="Z112" s="7"/>
      <c r="AA112" s="365"/>
      <c r="AB112" s="7"/>
    </row>
    <row r="113" spans="1:29" ht="20.25" customHeight="1" x14ac:dyDescent="0.25">
      <c r="A113" s="1340" t="s">
        <v>653</v>
      </c>
      <c r="B113" s="1341"/>
      <c r="C113" s="1342"/>
      <c r="D113" s="1341"/>
      <c r="E113" s="1343"/>
      <c r="F113" s="1341">
        <v>4784</v>
      </c>
      <c r="G113" s="1335"/>
      <c r="H113" s="1344"/>
      <c r="I113" s="1344"/>
      <c r="J113" s="1345"/>
      <c r="K113" s="1345"/>
      <c r="L113" s="1346"/>
      <c r="M113" s="1512">
        <f>SUM(M114)</f>
        <v>20782</v>
      </c>
      <c r="N113" s="1347"/>
      <c r="O113" s="1348"/>
      <c r="P113" s="1349"/>
      <c r="Q113" s="1350">
        <f>SUM(Q114:Q115)</f>
        <v>44434</v>
      </c>
      <c r="R113" s="1350">
        <f>SUM(R114:R115)</f>
        <v>14850.95</v>
      </c>
      <c r="S113" s="1350">
        <f t="shared" ref="S113" si="36">SUM(S114:S115)</f>
        <v>59284.950000000004</v>
      </c>
      <c r="T113" s="1515">
        <f>S113</f>
        <v>59284.950000000004</v>
      </c>
      <c r="V113" s="1356"/>
      <c r="AB113" s="7"/>
    </row>
    <row r="114" spans="1:29" ht="20.25" customHeight="1" x14ac:dyDescent="0.25">
      <c r="A114" s="232" t="s">
        <v>674</v>
      </c>
      <c r="B114" s="7"/>
      <c r="C114" s="7"/>
      <c r="D114" s="7"/>
      <c r="E114" s="7"/>
      <c r="F114" s="47">
        <v>20782</v>
      </c>
      <c r="G114" s="1356">
        <v>2</v>
      </c>
      <c r="H114" s="7"/>
      <c r="I114" s="7"/>
      <c r="J114" s="7"/>
      <c r="K114" s="7"/>
      <c r="L114" s="7"/>
      <c r="M114" s="47">
        <f>F114</f>
        <v>20782</v>
      </c>
      <c r="N114" s="7"/>
      <c r="O114" s="7"/>
      <c r="P114" s="7"/>
      <c r="Q114" s="47">
        <f>M114*G114</f>
        <v>41564</v>
      </c>
      <c r="R114" s="1356">
        <f>Q114*33.5%</f>
        <v>13923.94</v>
      </c>
      <c r="S114" s="1356">
        <f>Q114+R114</f>
        <v>55487.94</v>
      </c>
      <c r="V114" s="1356">
        <f>S114</f>
        <v>55487.94</v>
      </c>
      <c r="AB114" s="7"/>
    </row>
    <row r="115" spans="1:29" ht="20.25" customHeight="1" x14ac:dyDescent="0.25">
      <c r="A115" s="232" t="s">
        <v>472</v>
      </c>
      <c r="B115" s="7"/>
      <c r="C115" s="7"/>
      <c r="D115" s="7"/>
      <c r="E115" s="7"/>
      <c r="F115" s="47">
        <v>1435</v>
      </c>
      <c r="G115" s="1356">
        <v>2</v>
      </c>
      <c r="H115" s="7"/>
      <c r="I115" s="7"/>
      <c r="J115" s="7"/>
      <c r="K115" s="7"/>
      <c r="L115" s="7"/>
      <c r="M115" s="47">
        <f>F115</f>
        <v>1435</v>
      </c>
      <c r="N115" s="7"/>
      <c r="O115" s="7"/>
      <c r="P115" s="7"/>
      <c r="Q115" s="47">
        <f>F115*G115</f>
        <v>2870</v>
      </c>
      <c r="R115" s="1356">
        <f>Q115*'[1]CALCUL ANUAL SASSEP'!B12</f>
        <v>927.01</v>
      </c>
      <c r="S115" s="1356">
        <f>Q115+R115</f>
        <v>3797.01</v>
      </c>
      <c r="V115" s="1356">
        <f>$S$115</f>
        <v>3797.01</v>
      </c>
      <c r="AB115" s="365"/>
    </row>
    <row r="116" spans="1:29" s="2" customFormat="1" ht="18" customHeight="1" thickBot="1" x14ac:dyDescent="0.3">
      <c r="A116" s="1352" t="s">
        <v>44</v>
      </c>
      <c r="B116" s="732"/>
      <c r="C116" s="732"/>
      <c r="D116" s="732"/>
      <c r="E116" s="733"/>
      <c r="F116" s="734"/>
      <c r="G116" s="735"/>
      <c r="H116" s="733"/>
      <c r="I116" s="733"/>
      <c r="J116" s="336"/>
      <c r="K116" s="336"/>
      <c r="L116" s="333"/>
      <c r="M116" s="333"/>
      <c r="N116" s="333"/>
      <c r="O116" s="337" t="e">
        <f>SUM(O21:O113)</f>
        <v>#REF!</v>
      </c>
      <c r="P116" s="1353"/>
      <c r="Q116" s="1354">
        <f>Q112+Q97+Q89+Q49+Q20</f>
        <v>3046136.4540614174</v>
      </c>
      <c r="R116" s="1354">
        <f>R112+R97+R89+R49+R20</f>
        <v>993405.95002402202</v>
      </c>
      <c r="S116" s="1355">
        <f>S97+S89+S49+S20+S112</f>
        <v>4045358.531805438</v>
      </c>
      <c r="T116" s="90"/>
      <c r="V116" s="1517">
        <f>SUM(V114:V115)</f>
        <v>59284.950000000004</v>
      </c>
      <c r="W116" s="1519"/>
      <c r="X116" s="4"/>
      <c r="Y116" s="4"/>
      <c r="Z116" s="4"/>
      <c r="AA116" s="1369"/>
      <c r="AB116" s="4"/>
    </row>
    <row r="117" spans="1:29" ht="12.75" customHeight="1" x14ac:dyDescent="0.25">
      <c r="A117" s="1296"/>
      <c r="B117" s="97"/>
      <c r="C117" s="97"/>
      <c r="D117" s="97"/>
      <c r="E117" s="1277"/>
      <c r="F117" s="1278"/>
      <c r="G117" s="1297"/>
      <c r="H117" s="1277"/>
      <c r="I117" s="1277"/>
      <c r="J117" s="472"/>
      <c r="K117" s="472"/>
      <c r="L117" s="473"/>
      <c r="M117" s="473"/>
      <c r="N117" s="473"/>
      <c r="O117" s="1298"/>
      <c r="P117" s="678"/>
      <c r="Q117" s="678"/>
      <c r="R117" s="678"/>
      <c r="S117" s="1299"/>
      <c r="T117" s="90"/>
      <c r="V117" s="578"/>
      <c r="W117" s="4"/>
      <c r="X117" s="4"/>
      <c r="Y117" s="4"/>
      <c r="Z117" s="4"/>
      <c r="AA117" s="1369"/>
      <c r="AB117" s="7"/>
    </row>
    <row r="118" spans="1:29" ht="15.75" customHeight="1" x14ac:dyDescent="0.25">
      <c r="A118" s="1308" t="s">
        <v>45</v>
      </c>
      <c r="B118" s="1309"/>
      <c r="C118" s="1309"/>
      <c r="D118" s="1309"/>
      <c r="E118" s="1310"/>
      <c r="F118" s="1311"/>
      <c r="G118" s="1310"/>
      <c r="H118" s="1310"/>
      <c r="I118" s="1310"/>
      <c r="J118" s="1312"/>
      <c r="K118" s="1312"/>
      <c r="L118" s="1313"/>
      <c r="M118" s="1313"/>
      <c r="N118" s="1313"/>
      <c r="O118" s="1313"/>
      <c r="P118" s="1294"/>
      <c r="Q118" s="1294"/>
      <c r="R118" s="1294"/>
      <c r="S118" s="1314">
        <f>SUM(S119:S122)</f>
        <v>773938.23049398756</v>
      </c>
      <c r="T118" s="110">
        <f>S118</f>
        <v>773938.23049398756</v>
      </c>
      <c r="U118" s="1432"/>
      <c r="V118" s="1518">
        <f>SUM(V119:V122)</f>
        <v>773938.23049398756</v>
      </c>
      <c r="W118" s="7"/>
      <c r="X118" s="7"/>
      <c r="Y118" s="7"/>
      <c r="Z118" s="7"/>
      <c r="AA118" s="365"/>
      <c r="AB118" s="7"/>
    </row>
    <row r="119" spans="1:29" ht="15.75" customHeight="1" x14ac:dyDescent="0.25">
      <c r="A119" s="1300" t="s">
        <v>17</v>
      </c>
      <c r="B119" s="1301">
        <f>B13</f>
        <v>0.11650000000000001</v>
      </c>
      <c r="C119" s="135"/>
      <c r="D119" s="1302"/>
      <c r="E119" s="1302"/>
      <c r="F119" s="1302"/>
      <c r="G119" s="1302"/>
      <c r="H119" s="1302"/>
      <c r="I119" s="1302"/>
      <c r="J119" s="1303"/>
      <c r="K119" s="1302"/>
      <c r="L119" s="1304">
        <f>Q21-Q27+Q28-Q35+Q36-Q42+Q43+Q50-Q60+Q61-Q71+Q72+Q82+Q87+Q90+Q95+Q98-Q110+Q113</f>
        <v>3032288.3399364171</v>
      </c>
      <c r="M119" s="1305"/>
      <c r="N119" s="1305"/>
      <c r="O119" s="1306">
        <f>Q116</f>
        <v>3046136.4540614174</v>
      </c>
      <c r="P119" s="1307"/>
      <c r="Q119" s="1307">
        <f>L119*B119</f>
        <v>353261.59160259261</v>
      </c>
      <c r="R119" s="1307">
        <f>Q119*B12</f>
        <v>115163.27886244519</v>
      </c>
      <c r="S119" s="136">
        <f>Q119+R119</f>
        <v>468424.87046503782</v>
      </c>
      <c r="T119" s="110"/>
      <c r="U119" s="568">
        <v>5105.0404010595685</v>
      </c>
      <c r="V119" s="81">
        <f t="shared" ref="V119:V122" si="37">S119</f>
        <v>468424.87046503782</v>
      </c>
      <c r="W119" s="7"/>
      <c r="X119" s="7"/>
      <c r="Y119" s="7"/>
      <c r="Z119" s="7"/>
      <c r="AA119" s="365"/>
      <c r="AB119" s="7"/>
    </row>
    <row r="120" spans="1:29" ht="15.75" customHeight="1" x14ac:dyDescent="0.25">
      <c r="A120" s="227" t="s">
        <v>18</v>
      </c>
      <c r="B120" s="79">
        <v>0.02</v>
      </c>
      <c r="C120" s="7"/>
      <c r="D120" s="78"/>
      <c r="E120" s="78"/>
      <c r="F120" s="78"/>
      <c r="G120" s="78"/>
      <c r="H120" s="78"/>
      <c r="I120" s="78"/>
      <c r="J120" s="338"/>
      <c r="K120" s="78"/>
      <c r="L120" s="80"/>
      <c r="M120" s="331"/>
      <c r="N120" s="331"/>
      <c r="O120" s="749">
        <f>Q116</f>
        <v>3046136.4540614174</v>
      </c>
      <c r="P120" s="339"/>
      <c r="Q120" s="339">
        <f>L119*B120</f>
        <v>60645.766798728342</v>
      </c>
      <c r="R120" s="339"/>
      <c r="S120" s="81">
        <f t="shared" ref="S120:S122" si="38">Q120+R120</f>
        <v>60645.766798728342</v>
      </c>
      <c r="T120" s="110"/>
      <c r="U120" s="568">
        <v>10461.148362826985</v>
      </c>
      <c r="V120" s="81">
        <f t="shared" si="37"/>
        <v>60645.766798728342</v>
      </c>
      <c r="W120" s="7"/>
      <c r="X120" s="7"/>
      <c r="Y120" s="7"/>
      <c r="Z120" s="7"/>
      <c r="AA120" s="365"/>
      <c r="AB120" s="7"/>
      <c r="AC120" s="106">
        <f>V123-Q124</f>
        <v>1174586.5899345586</v>
      </c>
    </row>
    <row r="121" spans="1:29" ht="12.75" customHeight="1" x14ac:dyDescent="0.25">
      <c r="A121" s="227" t="s">
        <v>629</v>
      </c>
      <c r="B121" s="878">
        <v>0.03</v>
      </c>
      <c r="C121" s="7"/>
      <c r="D121" s="78"/>
      <c r="E121" s="84"/>
      <c r="F121" s="78"/>
      <c r="G121" s="78"/>
      <c r="H121" s="78"/>
      <c r="I121" s="78"/>
      <c r="J121" s="338"/>
      <c r="K121" s="78"/>
      <c r="L121" s="80"/>
      <c r="M121" s="331"/>
      <c r="N121" s="331"/>
      <c r="O121" s="749">
        <f>Q116</f>
        <v>3046136.4540614174</v>
      </c>
      <c r="P121" s="339"/>
      <c r="Q121" s="339">
        <f>L119*B121</f>
        <v>90968.65019809251</v>
      </c>
      <c r="R121" s="339">
        <f>Q121*B12</f>
        <v>29655.77996457816</v>
      </c>
      <c r="S121" s="81">
        <f t="shared" si="38"/>
        <v>120624.43016267067</v>
      </c>
      <c r="T121" s="110"/>
      <c r="U121" s="568"/>
      <c r="V121" s="81">
        <f t="shared" si="37"/>
        <v>120624.43016267067</v>
      </c>
      <c r="W121" s="7"/>
      <c r="X121" s="7"/>
      <c r="Y121" s="7"/>
      <c r="Z121" s="7"/>
      <c r="AA121" s="365"/>
      <c r="AB121" s="7"/>
    </row>
    <row r="122" spans="1:29" ht="13.5" customHeight="1" thickBot="1" x14ac:dyDescent="0.3">
      <c r="A122" s="1200" t="s">
        <v>630</v>
      </c>
      <c r="B122" s="1201">
        <v>0.03</v>
      </c>
      <c r="D122" s="1202"/>
      <c r="E122" s="1203"/>
      <c r="F122" s="1202"/>
      <c r="G122" s="1204"/>
      <c r="H122" s="1202"/>
      <c r="I122" s="1202"/>
      <c r="J122" s="1202"/>
      <c r="K122" s="1202"/>
      <c r="L122" s="180"/>
      <c r="M122" s="1205"/>
      <c r="N122" s="1205"/>
      <c r="O122" s="1206"/>
      <c r="P122" s="1287"/>
      <c r="Q122" s="1287">
        <f>(L119+Q121)*B122</f>
        <v>93697.709704035282</v>
      </c>
      <c r="R122" s="1288">
        <f>Q122*B12</f>
        <v>30545.453363515502</v>
      </c>
      <c r="S122" s="85">
        <f t="shared" si="38"/>
        <v>124243.16306755078</v>
      </c>
      <c r="T122" s="90"/>
      <c r="V122" s="81">
        <f t="shared" si="37"/>
        <v>124243.16306755078</v>
      </c>
      <c r="W122" s="557"/>
      <c r="X122" s="557"/>
      <c r="Y122" s="557"/>
      <c r="Z122" s="557"/>
      <c r="AA122" s="1371"/>
      <c r="AB122" s="7"/>
    </row>
    <row r="123" spans="1:29" ht="33" customHeight="1" thickBot="1" x14ac:dyDescent="0.3">
      <c r="A123" s="225" t="s">
        <v>47</v>
      </c>
      <c r="B123" s="86"/>
      <c r="C123" s="59"/>
      <c r="D123" s="59"/>
      <c r="E123" s="60"/>
      <c r="F123" s="76"/>
      <c r="G123" s="62"/>
      <c r="H123" s="60"/>
      <c r="I123" s="60"/>
      <c r="J123" s="63"/>
      <c r="K123" s="63"/>
      <c r="L123" s="64">
        <f>SUM(L119:L121)</f>
        <v>3032288.3399364171</v>
      </c>
      <c r="M123" s="64">
        <f>SUM(M119:M121)</f>
        <v>0</v>
      </c>
      <c r="N123" s="64"/>
      <c r="O123" s="65">
        <f>SUM(O119:O121)</f>
        <v>9138409.3621842526</v>
      </c>
      <c r="P123" s="1289"/>
      <c r="Q123" s="1290">
        <f>SUM(Q119:Q122)</f>
        <v>598573.71830344875</v>
      </c>
      <c r="R123" s="1291">
        <f>SUM(R119:R122)</f>
        <v>175364.51219053884</v>
      </c>
      <c r="S123" s="1292">
        <f>SUM(S119:S122)</f>
        <v>773938.23049398756</v>
      </c>
      <c r="T123" s="90"/>
      <c r="V123" s="1363">
        <f>V118+V116+V112+V97+V95+V89+V82+V72+V61+V48+V43+V36+V28</f>
        <v>4819296.762299425</v>
      </c>
      <c r="W123" s="557"/>
      <c r="X123" s="557"/>
      <c r="Y123" s="557"/>
      <c r="Z123" s="557"/>
      <c r="AA123" s="1371"/>
      <c r="AB123" s="7"/>
    </row>
    <row r="124" spans="1:29" ht="14.45" customHeight="1" thickBot="1" x14ac:dyDescent="0.3">
      <c r="A124" s="1295" t="s">
        <v>643</v>
      </c>
      <c r="B124" s="1279"/>
      <c r="C124" s="1280"/>
      <c r="D124" s="1280"/>
      <c r="E124" s="1281"/>
      <c r="F124" s="1282"/>
      <c r="G124" s="1281"/>
      <c r="H124" s="1281"/>
      <c r="I124" s="1281"/>
      <c r="J124" s="1283"/>
      <c r="K124" s="1283"/>
      <c r="L124" s="1284"/>
      <c r="M124" s="1284"/>
      <c r="N124" s="1284"/>
      <c r="O124" s="1284"/>
      <c r="P124" s="1285"/>
      <c r="Q124" s="1286">
        <f>Q116+Q123</f>
        <v>3644710.1723648664</v>
      </c>
      <c r="R124" s="1286">
        <v>1174586.590920561</v>
      </c>
      <c r="S124" s="1293">
        <f>S21+S28+S36+S43+S50+S61+S72+S82+S90+S95+S98+S113+S118</f>
        <v>4819296.7622994259</v>
      </c>
      <c r="T124" s="90">
        <f>SUM(T21:T123)</f>
        <v>4819296.7622994259</v>
      </c>
      <c r="V124" s="579"/>
      <c r="W124" s="557"/>
      <c r="X124" s="557"/>
      <c r="Y124" s="557"/>
      <c r="Z124" s="557"/>
      <c r="AA124" s="1371"/>
      <c r="AB124" s="7"/>
    </row>
    <row r="125" spans="1:29" ht="30" customHeight="1" thickBot="1" x14ac:dyDescent="0.3">
      <c r="A125" s="1275"/>
      <c r="B125" s="1276"/>
      <c r="C125" s="97"/>
      <c r="D125" s="97"/>
      <c r="E125" s="1277"/>
      <c r="F125" s="1278"/>
      <c r="G125" s="1277"/>
      <c r="H125" s="1277"/>
      <c r="I125" s="1277"/>
      <c r="J125" s="472"/>
      <c r="K125" s="472"/>
      <c r="L125" s="473"/>
      <c r="M125" s="473"/>
      <c r="N125" s="473"/>
      <c r="O125" s="473"/>
      <c r="P125" s="678"/>
      <c r="Q125" s="678"/>
      <c r="R125" s="678"/>
      <c r="S125" s="90"/>
      <c r="T125" s="651"/>
      <c r="V125" s="941"/>
      <c r="W125" s="7"/>
      <c r="X125" s="7"/>
      <c r="Y125" s="7"/>
      <c r="Z125" s="7"/>
      <c r="AA125" s="365"/>
      <c r="AB125" s="7"/>
    </row>
    <row r="126" spans="1:29" s="2" customFormat="1" ht="15.75" customHeight="1" thickBot="1" x14ac:dyDescent="0.3">
      <c r="A126" s="1351" t="s">
        <v>48</v>
      </c>
      <c r="B126" s="1405"/>
      <c r="C126" s="1406"/>
      <c r="D126" s="1407"/>
      <c r="E126" s="1408" t="s">
        <v>312</v>
      </c>
      <c r="F126" s="1408" t="s">
        <v>238</v>
      </c>
      <c r="G126" s="1408" t="s">
        <v>49</v>
      </c>
      <c r="H126" s="1408" t="s">
        <v>313</v>
      </c>
      <c r="I126" s="1408"/>
      <c r="J126" s="1407"/>
      <c r="K126" s="1407"/>
      <c r="L126" s="1407"/>
      <c r="M126" s="1407"/>
      <c r="N126" s="1407"/>
      <c r="O126" s="1407"/>
      <c r="P126" s="1409"/>
      <c r="Q126" s="1409"/>
      <c r="R126" s="1409"/>
      <c r="S126" s="1408" t="s">
        <v>50</v>
      </c>
      <c r="T126" s="660"/>
      <c r="V126" s="4"/>
      <c r="W126" s="4"/>
      <c r="X126" s="99">
        <f>$S$127</f>
        <v>57600</v>
      </c>
      <c r="Y126" s="4"/>
      <c r="Z126" s="8"/>
      <c r="AA126" s="1369"/>
      <c r="AB126" s="4"/>
    </row>
    <row r="127" spans="1:29" s="2" customFormat="1" ht="15.75" customHeight="1" x14ac:dyDescent="0.25">
      <c r="A127" s="1275" t="s">
        <v>668</v>
      </c>
      <c r="B127" s="358"/>
      <c r="C127" s="358"/>
      <c r="D127" s="358"/>
      <c r="E127" s="267">
        <v>8</v>
      </c>
      <c r="F127" s="267">
        <v>180</v>
      </c>
      <c r="G127" s="361">
        <v>40</v>
      </c>
      <c r="H127" s="495">
        <f>E127*G127</f>
        <v>320</v>
      </c>
      <c r="I127" s="359"/>
      <c r="J127" s="358"/>
      <c r="K127" s="358"/>
      <c r="L127" s="358"/>
      <c r="M127" s="358"/>
      <c r="N127" s="358"/>
      <c r="O127" s="358"/>
      <c r="P127" s="358"/>
      <c r="Q127" s="358"/>
      <c r="R127" s="358"/>
      <c r="S127" s="116">
        <f>H127*F127</f>
        <v>57600</v>
      </c>
      <c r="T127" s="99"/>
      <c r="V127" s="4"/>
      <c r="W127" s="4"/>
      <c r="X127" s="4"/>
      <c r="Y127" s="1362">
        <f>$S$128</f>
        <v>3200</v>
      </c>
      <c r="Z127" s="8"/>
      <c r="AA127" s="1369"/>
      <c r="AB127" s="4"/>
    </row>
    <row r="128" spans="1:29" s="2" customFormat="1" ht="15.75" customHeight="1" x14ac:dyDescent="0.25">
      <c r="A128" s="1275" t="s">
        <v>669</v>
      </c>
      <c r="B128" s="358"/>
      <c r="C128" s="358"/>
      <c r="D128" s="358"/>
      <c r="E128" s="267">
        <v>2</v>
      </c>
      <c r="F128" s="267">
        <v>20</v>
      </c>
      <c r="G128" s="361">
        <v>80</v>
      </c>
      <c r="H128" s="495">
        <f t="shared" ref="H128:H130" si="39">E128*G128</f>
        <v>160</v>
      </c>
      <c r="I128" s="359"/>
      <c r="J128" s="358"/>
      <c r="K128" s="358"/>
      <c r="L128" s="358"/>
      <c r="M128" s="358"/>
      <c r="N128" s="358"/>
      <c r="O128" s="358"/>
      <c r="P128" s="358"/>
      <c r="Q128" s="358"/>
      <c r="R128" s="358"/>
      <c r="S128" s="116">
        <f>H128*F128</f>
        <v>3200</v>
      </c>
      <c r="T128" s="99"/>
      <c r="V128" s="4"/>
      <c r="W128" s="4"/>
      <c r="X128" s="4"/>
      <c r="Y128" s="4"/>
      <c r="Z128" s="8">
        <f>$S$129</f>
        <v>29250</v>
      </c>
      <c r="AA128" s="1372"/>
      <c r="AB128" s="4"/>
    </row>
    <row r="129" spans="1:28" s="2" customFormat="1" ht="15.75" customHeight="1" x14ac:dyDescent="0.25">
      <c r="A129" s="1275" t="s">
        <v>132</v>
      </c>
      <c r="B129" s="254"/>
      <c r="C129" s="254"/>
      <c r="D129" s="254"/>
      <c r="E129" s="278">
        <v>1</v>
      </c>
      <c r="F129" s="278">
        <v>650</v>
      </c>
      <c r="G129" s="361">
        <v>45</v>
      </c>
      <c r="H129" s="495">
        <f t="shared" si="39"/>
        <v>45</v>
      </c>
      <c r="I129" s="279"/>
      <c r="J129" s="254"/>
      <c r="K129" s="254"/>
      <c r="L129" s="280"/>
      <c r="M129" s="280"/>
      <c r="N129" s="280"/>
      <c r="O129" s="362"/>
      <c r="P129" s="281"/>
      <c r="Q129" s="281"/>
      <c r="R129" s="281"/>
      <c r="S129" s="116">
        <f>H129*F129</f>
        <v>29250</v>
      </c>
      <c r="T129" s="99"/>
      <c r="V129" s="1362"/>
      <c r="W129" s="4"/>
      <c r="X129" s="4"/>
      <c r="Y129" s="4"/>
      <c r="Z129" s="8"/>
      <c r="AA129" s="1372">
        <f>$S$130</f>
        <v>21000</v>
      </c>
      <c r="AB129" s="4"/>
    </row>
    <row r="130" spans="1:28" s="2" customFormat="1" ht="15.75" customHeight="1" x14ac:dyDescent="0.25">
      <c r="A130" s="1275" t="s">
        <v>133</v>
      </c>
      <c r="B130" s="254"/>
      <c r="C130" s="254"/>
      <c r="D130" s="254"/>
      <c r="E130" s="278">
        <v>1</v>
      </c>
      <c r="F130" s="278">
        <v>600</v>
      </c>
      <c r="G130" s="361">
        <v>35</v>
      </c>
      <c r="H130" s="495">
        <f t="shared" si="39"/>
        <v>35</v>
      </c>
      <c r="I130" s="279"/>
      <c r="J130" s="254"/>
      <c r="K130" s="254"/>
      <c r="L130" s="280"/>
      <c r="M130" s="280"/>
      <c r="N130" s="280"/>
      <c r="O130" s="362"/>
      <c r="P130" s="281"/>
      <c r="Q130" s="281"/>
      <c r="R130" s="281"/>
      <c r="S130" s="116">
        <f>H130*F130</f>
        <v>21000</v>
      </c>
      <c r="T130" s="99"/>
      <c r="V130" s="1362"/>
      <c r="W130" s="4"/>
      <c r="X130" s="4"/>
      <c r="Y130" s="4"/>
      <c r="Z130" s="8"/>
      <c r="AA130" s="1372"/>
      <c r="AB130" s="1362">
        <v>10000</v>
      </c>
    </row>
    <row r="131" spans="1:28" ht="24" customHeight="1" thickBot="1" x14ac:dyDescent="0.3">
      <c r="A131" s="1275" t="s">
        <v>667</v>
      </c>
      <c r="B131" s="254"/>
      <c r="C131" s="254"/>
      <c r="D131" s="254"/>
      <c r="E131" s="278">
        <v>1000</v>
      </c>
      <c r="F131" s="278">
        <v>10</v>
      </c>
      <c r="G131" s="361"/>
      <c r="H131" s="495">
        <v>1000</v>
      </c>
      <c r="I131" s="279"/>
      <c r="J131" s="254"/>
      <c r="K131" s="254"/>
      <c r="L131" s="280"/>
      <c r="M131" s="280"/>
      <c r="N131" s="280"/>
      <c r="O131" s="362"/>
      <c r="P131" s="281"/>
      <c r="Q131" s="281"/>
      <c r="R131" s="281"/>
      <c r="S131" s="116">
        <f>H131*F131</f>
        <v>10000</v>
      </c>
      <c r="T131" s="90"/>
      <c r="U131" s="110"/>
      <c r="V131" s="4"/>
      <c r="W131" s="760"/>
      <c r="X131" s="760"/>
      <c r="Y131" s="760"/>
      <c r="Z131" s="1392"/>
      <c r="AA131" s="1411"/>
      <c r="AB131" s="7"/>
    </row>
    <row r="132" spans="1:28" s="2" customFormat="1" ht="16.5" customHeight="1" thickBot="1" x14ac:dyDescent="0.3">
      <c r="A132" s="225" t="s">
        <v>51</v>
      </c>
      <c r="B132" s="1401"/>
      <c r="C132" s="732"/>
      <c r="D132" s="732"/>
      <c r="E132" s="733"/>
      <c r="F132" s="1402"/>
      <c r="G132" s="735"/>
      <c r="H132" s="733"/>
      <c r="I132" s="733"/>
      <c r="J132" s="336"/>
      <c r="K132" s="336"/>
      <c r="L132" s="333"/>
      <c r="M132" s="333"/>
      <c r="N132" s="333"/>
      <c r="O132" s="337"/>
      <c r="P132" s="1403"/>
      <c r="Q132" s="1403"/>
      <c r="R132" s="1403"/>
      <c r="S132" s="1404">
        <f>SUM(S127:S131)</f>
        <v>121050</v>
      </c>
      <c r="T132" s="634"/>
      <c r="V132" s="760"/>
      <c r="W132" s="4"/>
      <c r="X132" s="4"/>
      <c r="Y132" s="4"/>
      <c r="Z132" s="4"/>
      <c r="AA132" s="1369"/>
      <c r="AB132" s="4"/>
    </row>
    <row r="133" spans="1:28" ht="30" customHeight="1" thickBot="1" x14ac:dyDescent="0.3">
      <c r="A133" s="273"/>
      <c r="B133" s="249"/>
      <c r="C133" s="249"/>
      <c r="D133" s="249"/>
      <c r="E133" s="250"/>
      <c r="F133" s="251"/>
      <c r="G133" s="252"/>
      <c r="H133" s="252"/>
      <c r="I133" s="249"/>
      <c r="J133" s="249"/>
      <c r="K133" s="249"/>
      <c r="L133" s="249"/>
      <c r="M133" s="249"/>
      <c r="N133" s="249"/>
      <c r="O133" s="249"/>
      <c r="P133" s="681"/>
      <c r="Q133" s="681"/>
      <c r="R133" s="681"/>
      <c r="S133" s="1358"/>
      <c r="T133" s="109"/>
      <c r="U133" s="110">
        <f>SUM(X133:AB133)</f>
        <v>121050</v>
      </c>
      <c r="V133" s="4"/>
      <c r="W133" s="4"/>
      <c r="X133" s="943">
        <f>X126</f>
        <v>57600</v>
      </c>
      <c r="Y133" s="943">
        <f>Y127</f>
        <v>3200</v>
      </c>
      <c r="Z133" s="943">
        <f>Z126+Z128+Z129</f>
        <v>29250</v>
      </c>
      <c r="AA133" s="1373">
        <f>AA129</f>
        <v>21000</v>
      </c>
      <c r="AB133" s="943">
        <f>AB130</f>
        <v>10000</v>
      </c>
    </row>
    <row r="134" spans="1:28" s="2" customFormat="1" ht="12.6" customHeight="1" thickBot="1" x14ac:dyDescent="0.3">
      <c r="A134" s="228" t="s">
        <v>52</v>
      </c>
      <c r="B134" s="102"/>
      <c r="C134" s="103"/>
      <c r="D134" s="103"/>
      <c r="E134" s="103"/>
      <c r="F134" s="103"/>
      <c r="G134" s="103"/>
      <c r="H134" s="103"/>
      <c r="I134" s="103"/>
      <c r="J134" s="103"/>
      <c r="K134" s="103"/>
      <c r="L134" s="104"/>
      <c r="M134" s="104"/>
      <c r="N134" s="104"/>
      <c r="O134" s="104"/>
      <c r="P134" s="105"/>
      <c r="Q134" s="105"/>
      <c r="R134" s="876"/>
      <c r="S134" s="1359">
        <f>S124</f>
        <v>4819296.7622994259</v>
      </c>
      <c r="T134" s="109"/>
      <c r="U134" s="110"/>
      <c r="V134" s="941"/>
      <c r="W134" s="4"/>
      <c r="X134" s="4"/>
      <c r="Y134" s="4"/>
      <c r="Z134" s="4"/>
      <c r="AA134" s="1372"/>
      <c r="AB134" s="4"/>
    </row>
    <row r="135" spans="1:28" ht="30" customHeight="1" x14ac:dyDescent="0.25">
      <c r="A135" s="229"/>
      <c r="B135" s="97"/>
      <c r="C135" s="97"/>
      <c r="D135" s="97"/>
      <c r="E135" s="97"/>
      <c r="F135" s="97"/>
      <c r="G135" s="97"/>
      <c r="H135" s="97"/>
      <c r="I135" s="97"/>
      <c r="J135" s="97"/>
      <c r="K135" s="97"/>
      <c r="L135" s="98"/>
      <c r="M135" s="98"/>
      <c r="N135" s="98"/>
      <c r="O135" s="98"/>
      <c r="P135" s="108"/>
      <c r="Q135" s="108"/>
      <c r="R135" s="108"/>
      <c r="S135" s="635"/>
      <c r="T135" s="656"/>
      <c r="V135" s="8"/>
      <c r="W135" s="4"/>
      <c r="X135" s="4"/>
      <c r="Y135" s="4"/>
      <c r="Z135" s="4"/>
      <c r="AA135" s="1369"/>
      <c r="AB135" s="7"/>
    </row>
    <row r="136" spans="1:28" s="19" customFormat="1" ht="14.45" customHeight="1" x14ac:dyDescent="0.25">
      <c r="A136" s="230" t="s">
        <v>53</v>
      </c>
      <c r="B136" s="112"/>
      <c r="C136" s="112"/>
      <c r="D136" s="266" t="s">
        <v>237</v>
      </c>
      <c r="E136" s="266" t="s">
        <v>238</v>
      </c>
      <c r="F136" s="266" t="s">
        <v>239</v>
      </c>
      <c r="G136" s="266" t="s">
        <v>244</v>
      </c>
      <c r="H136" s="266"/>
      <c r="I136" s="112"/>
      <c r="J136" s="112"/>
      <c r="K136" s="112"/>
      <c r="L136" s="112"/>
      <c r="M136" s="112"/>
      <c r="N136" s="112"/>
      <c r="O136" s="112"/>
      <c r="P136" s="113"/>
      <c r="Q136" s="113"/>
      <c r="R136" s="113"/>
      <c r="S136" s="114" t="s">
        <v>54</v>
      </c>
      <c r="T136" s="637"/>
      <c r="U136" s="806"/>
      <c r="V136" s="941"/>
      <c r="W136" s="944">
        <f t="shared" ref="W136:W146" si="40">S137</f>
        <v>1200</v>
      </c>
      <c r="X136" s="299"/>
      <c r="Y136" s="299"/>
      <c r="Z136" s="299"/>
      <c r="AA136" s="1374"/>
      <c r="AB136" s="299"/>
    </row>
    <row r="137" spans="1:28" s="19" customFormat="1" ht="14.45" customHeight="1" x14ac:dyDescent="0.25">
      <c r="A137" s="768" t="s">
        <v>402</v>
      </c>
      <c r="B137" s="598"/>
      <c r="C137" s="599"/>
      <c r="D137" s="599"/>
      <c r="E137" s="478">
        <v>24</v>
      </c>
      <c r="F137" s="479">
        <v>12</v>
      </c>
      <c r="G137" s="546">
        <v>50</v>
      </c>
      <c r="H137" s="478"/>
      <c r="I137" s="478"/>
      <c r="J137" s="480"/>
      <c r="K137" s="480"/>
      <c r="L137" s="921"/>
      <c r="M137" s="921"/>
      <c r="N137" s="921"/>
      <c r="O137" s="921"/>
      <c r="P137" s="922"/>
      <c r="Q137" s="922"/>
      <c r="R137" s="922"/>
      <c r="S137" s="548">
        <f>E137*G137</f>
        <v>1200</v>
      </c>
      <c r="T137" s="637"/>
      <c r="U137" s="806"/>
      <c r="V137" s="942"/>
      <c r="W137" s="944">
        <f t="shared" si="40"/>
        <v>1200</v>
      </c>
      <c r="X137" s="299"/>
      <c r="Y137" s="299"/>
      <c r="Z137" s="299"/>
      <c r="AA137" s="1374"/>
      <c r="AB137" s="299"/>
    </row>
    <row r="138" spans="1:28" ht="14.45" customHeight="1" x14ac:dyDescent="0.25">
      <c r="A138" s="768" t="s">
        <v>526</v>
      </c>
      <c r="B138" s="598"/>
      <c r="C138" s="599"/>
      <c r="D138" s="599"/>
      <c r="E138" s="600"/>
      <c r="F138" s="479">
        <v>24</v>
      </c>
      <c r="G138" s="546">
        <v>50</v>
      </c>
      <c r="H138" s="478"/>
      <c r="I138" s="478"/>
      <c r="J138" s="480"/>
      <c r="K138" s="480"/>
      <c r="L138" s="921"/>
      <c r="M138" s="921"/>
      <c r="N138" s="921"/>
      <c r="O138" s="921"/>
      <c r="P138" s="922"/>
      <c r="Q138" s="922"/>
      <c r="R138" s="922"/>
      <c r="S138" s="548">
        <v>1200</v>
      </c>
      <c r="T138" s="264"/>
      <c r="V138" s="942"/>
      <c r="W138" s="944">
        <f t="shared" si="40"/>
        <v>720</v>
      </c>
      <c r="X138" s="557"/>
      <c r="Y138" s="557"/>
      <c r="Z138" s="557"/>
      <c r="AA138" s="1371"/>
      <c r="AB138" s="7"/>
    </row>
    <row r="139" spans="1:28" s="2" customFormat="1" x14ac:dyDescent="0.25">
      <c r="A139" s="360" t="s">
        <v>343</v>
      </c>
      <c r="B139" s="474"/>
      <c r="C139" s="254"/>
      <c r="D139" s="254"/>
      <c r="E139" s="478">
        <v>24</v>
      </c>
      <c r="F139" s="479"/>
      <c r="G139" s="546">
        <v>30</v>
      </c>
      <c r="H139" s="478"/>
      <c r="I139" s="478"/>
      <c r="J139" s="480"/>
      <c r="K139" s="475"/>
      <c r="L139" s="476"/>
      <c r="M139" s="476"/>
      <c r="N139" s="476"/>
      <c r="O139" s="476"/>
      <c r="P139" s="477"/>
      <c r="Q139" s="477"/>
      <c r="R139" s="477"/>
      <c r="S139" s="548">
        <f>G139*E139</f>
        <v>720</v>
      </c>
      <c r="T139" s="110"/>
      <c r="V139" s="941"/>
      <c r="W139" s="945">
        <f t="shared" si="40"/>
        <v>6264</v>
      </c>
      <c r="X139" s="4"/>
      <c r="Y139" s="4"/>
      <c r="Z139" s="4"/>
      <c r="AA139" s="1369"/>
      <c r="AB139" s="4"/>
    </row>
    <row r="140" spans="1:28" s="2" customFormat="1" x14ac:dyDescent="0.25">
      <c r="A140" s="231" t="s">
        <v>134</v>
      </c>
      <c r="B140" s="4"/>
      <c r="C140" s="4"/>
      <c r="D140" s="4">
        <v>2</v>
      </c>
      <c r="E140" s="4"/>
      <c r="F140" s="118">
        <v>12</v>
      </c>
      <c r="G140" s="547">
        <v>522</v>
      </c>
      <c r="H140" s="116"/>
      <c r="I140" s="116"/>
      <c r="J140" s="4"/>
      <c r="K140" s="4"/>
      <c r="L140" s="4"/>
      <c r="M140" s="4"/>
      <c r="N140" s="4"/>
      <c r="O140" s="4"/>
      <c r="P140" s="117"/>
      <c r="Q140" s="117"/>
      <c r="R140" s="117"/>
      <c r="S140" s="8">
        <f>F140*G140</f>
        <v>6264</v>
      </c>
      <c r="T140" s="110"/>
      <c r="V140" s="4"/>
      <c r="W140" s="945">
        <f t="shared" si="40"/>
        <v>5940</v>
      </c>
      <c r="X140" s="4"/>
      <c r="Y140" s="4"/>
      <c r="Z140" s="4"/>
      <c r="AA140" s="1369"/>
      <c r="AB140" s="4"/>
    </row>
    <row r="141" spans="1:28" s="2" customFormat="1" x14ac:dyDescent="0.25">
      <c r="A141" s="231" t="s">
        <v>135</v>
      </c>
      <c r="B141" s="4"/>
      <c r="C141" s="4"/>
      <c r="D141" s="4">
        <v>2</v>
      </c>
      <c r="E141" s="4"/>
      <c r="F141" s="118">
        <v>12</v>
      </c>
      <c r="G141" s="116">
        <v>495</v>
      </c>
      <c r="H141" s="116"/>
      <c r="I141" s="116"/>
      <c r="J141" s="4"/>
      <c r="K141" s="4"/>
      <c r="L141" s="4"/>
      <c r="M141" s="4"/>
      <c r="N141" s="4"/>
      <c r="O141" s="4"/>
      <c r="P141" s="117"/>
      <c r="Q141" s="117"/>
      <c r="R141" s="117"/>
      <c r="S141" s="8">
        <f>F141*G141</f>
        <v>5940</v>
      </c>
      <c r="T141" s="99"/>
      <c r="V141" s="4"/>
      <c r="W141" s="945">
        <f t="shared" si="40"/>
        <v>2392</v>
      </c>
      <c r="X141" s="4"/>
      <c r="Y141" s="4"/>
      <c r="Z141" s="4"/>
      <c r="AA141" s="1369"/>
      <c r="AB141" s="4"/>
    </row>
    <row r="142" spans="1:28" s="2" customFormat="1" x14ac:dyDescent="0.25">
      <c r="A142" s="231" t="s">
        <v>316</v>
      </c>
      <c r="B142" s="4"/>
      <c r="C142" s="4"/>
      <c r="D142" s="267">
        <v>4</v>
      </c>
      <c r="E142" s="267" t="s">
        <v>240</v>
      </c>
      <c r="F142" s="118">
        <v>52</v>
      </c>
      <c r="G142" s="259">
        <v>11.5</v>
      </c>
      <c r="H142" s="259"/>
      <c r="I142" s="116"/>
      <c r="J142" s="4"/>
      <c r="K142" s="4"/>
      <c r="L142" s="4"/>
      <c r="M142" s="4"/>
      <c r="N142" s="4"/>
      <c r="O142" s="4"/>
      <c r="P142" s="117"/>
      <c r="Q142" s="117"/>
      <c r="R142" s="117"/>
      <c r="S142" s="116">
        <f>F142*D142*G142</f>
        <v>2392</v>
      </c>
      <c r="T142" s="99"/>
      <c r="V142" s="4"/>
      <c r="W142" s="945">
        <f t="shared" si="40"/>
        <v>2080</v>
      </c>
      <c r="X142" s="4"/>
      <c r="Y142" s="4"/>
      <c r="Z142" s="4"/>
      <c r="AA142" s="1369"/>
      <c r="AB142" s="4"/>
    </row>
    <row r="143" spans="1:28" s="2" customFormat="1" x14ac:dyDescent="0.25">
      <c r="A143" s="231" t="s">
        <v>204</v>
      </c>
      <c r="B143" s="4"/>
      <c r="C143" s="4"/>
      <c r="D143" s="267">
        <v>4</v>
      </c>
      <c r="E143" s="267" t="s">
        <v>240</v>
      </c>
      <c r="F143" s="118">
        <v>4</v>
      </c>
      <c r="G143" s="116">
        <v>130</v>
      </c>
      <c r="H143" s="116"/>
      <c r="I143" s="116"/>
      <c r="J143" s="4"/>
      <c r="K143" s="4"/>
      <c r="L143" s="4"/>
      <c r="M143" s="4"/>
      <c r="N143" s="4"/>
      <c r="O143" s="4"/>
      <c r="P143" s="117"/>
      <c r="Q143" s="117"/>
      <c r="R143" s="117"/>
      <c r="S143" s="116">
        <f>D143*F143*G143</f>
        <v>2080</v>
      </c>
      <c r="T143" s="99"/>
      <c r="V143" s="4"/>
      <c r="W143" s="945">
        <f t="shared" si="40"/>
        <v>720</v>
      </c>
      <c r="X143" s="4"/>
      <c r="Y143" s="4"/>
      <c r="Z143" s="4"/>
      <c r="AA143" s="1369"/>
      <c r="AB143" s="4"/>
    </row>
    <row r="144" spans="1:28" s="2" customFormat="1" x14ac:dyDescent="0.25">
      <c r="A144" s="231" t="s">
        <v>317</v>
      </c>
      <c r="B144" s="4"/>
      <c r="C144" s="4"/>
      <c r="D144" s="267">
        <v>4</v>
      </c>
      <c r="E144" s="267"/>
      <c r="F144" s="118"/>
      <c r="G144" s="116">
        <v>180</v>
      </c>
      <c r="H144" s="116"/>
      <c r="I144" s="116"/>
      <c r="J144" s="4"/>
      <c r="K144" s="4"/>
      <c r="L144" s="4"/>
      <c r="M144" s="4"/>
      <c r="N144" s="4"/>
      <c r="O144" s="4"/>
      <c r="P144" s="117"/>
      <c r="Q144" s="117"/>
      <c r="R144" s="117"/>
      <c r="S144" s="116">
        <f>G144*D144</f>
        <v>720</v>
      </c>
      <c r="T144" s="99"/>
      <c r="V144" s="4"/>
      <c r="W144" s="945">
        <f t="shared" si="40"/>
        <v>1600</v>
      </c>
      <c r="X144" s="4"/>
      <c r="Y144" s="4"/>
      <c r="Z144" s="4"/>
      <c r="AA144" s="1369"/>
      <c r="AB144" s="4"/>
    </row>
    <row r="145" spans="1:29" s="2" customFormat="1" x14ac:dyDescent="0.25">
      <c r="A145" s="231" t="s">
        <v>234</v>
      </c>
      <c r="B145" s="4"/>
      <c r="C145" s="4"/>
      <c r="D145" s="267">
        <v>1000</v>
      </c>
      <c r="E145" s="267" t="s">
        <v>241</v>
      </c>
      <c r="F145" s="118"/>
      <c r="G145" s="116">
        <v>1.6</v>
      </c>
      <c r="H145" s="116"/>
      <c r="I145" s="116"/>
      <c r="J145" s="4"/>
      <c r="K145" s="4"/>
      <c r="L145" s="4"/>
      <c r="M145" s="4"/>
      <c r="N145" s="4"/>
      <c r="O145" s="4"/>
      <c r="P145" s="117"/>
      <c r="Q145" s="117"/>
      <c r="R145" s="117"/>
      <c r="S145" s="116">
        <f>G145*D145</f>
        <v>1600</v>
      </c>
      <c r="T145" s="99"/>
      <c r="V145" s="4"/>
      <c r="W145" s="945">
        <f t="shared" si="40"/>
        <v>8040</v>
      </c>
      <c r="X145" s="4"/>
      <c r="Y145" s="4"/>
      <c r="Z145" s="4"/>
      <c r="AA145" s="1369"/>
      <c r="AB145" s="4"/>
    </row>
    <row r="146" spans="1:29" s="2" customFormat="1" x14ac:dyDescent="0.25">
      <c r="A146" s="231" t="s">
        <v>157</v>
      </c>
      <c r="B146" s="4"/>
      <c r="C146" s="4"/>
      <c r="D146" s="267">
        <v>4</v>
      </c>
      <c r="E146" s="267"/>
      <c r="F146" s="118">
        <v>12</v>
      </c>
      <c r="G146" s="116">
        <v>167.5</v>
      </c>
      <c r="H146" s="116"/>
      <c r="I146" s="116"/>
      <c r="J146" s="4"/>
      <c r="K146" s="4"/>
      <c r="L146" s="4"/>
      <c r="M146" s="4"/>
      <c r="N146" s="4"/>
      <c r="O146" s="4"/>
      <c r="P146" s="117"/>
      <c r="Q146" s="117"/>
      <c r="R146" s="117"/>
      <c r="S146" s="116">
        <f>D146*F146*G146</f>
        <v>8040</v>
      </c>
      <c r="T146" s="99"/>
      <c r="V146" s="4"/>
      <c r="W146" s="945">
        <f t="shared" si="40"/>
        <v>756</v>
      </c>
      <c r="X146" s="4"/>
      <c r="Y146" s="4"/>
      <c r="Z146" s="4"/>
      <c r="AA146" s="1369"/>
      <c r="AB146" s="4"/>
    </row>
    <row r="147" spans="1:29" x14ac:dyDescent="0.25">
      <c r="A147" s="231" t="s">
        <v>158</v>
      </c>
      <c r="B147" s="4"/>
      <c r="C147" s="4"/>
      <c r="D147" s="267">
        <v>4</v>
      </c>
      <c r="E147" s="267"/>
      <c r="F147" s="118"/>
      <c r="G147" s="116">
        <v>189</v>
      </c>
      <c r="H147" s="116"/>
      <c r="I147" s="116"/>
      <c r="J147" s="4"/>
      <c r="K147" s="4"/>
      <c r="L147" s="4"/>
      <c r="M147" s="4"/>
      <c r="N147" s="4"/>
      <c r="O147" s="4"/>
      <c r="P147" s="117"/>
      <c r="Q147" s="117"/>
      <c r="R147" s="117"/>
      <c r="S147" s="116">
        <f>D147*G147</f>
        <v>756</v>
      </c>
      <c r="T147" s="110"/>
      <c r="V147" s="4"/>
      <c r="W147" s="81">
        <f>$S$148</f>
        <v>40716</v>
      </c>
      <c r="X147" s="81"/>
      <c r="Y147" s="81"/>
      <c r="Z147" s="81"/>
      <c r="AA147" s="365"/>
      <c r="AB147" s="7"/>
    </row>
    <row r="148" spans="1:29" ht="14.25" customHeight="1" thickBot="1" x14ac:dyDescent="0.3">
      <c r="A148" s="232" t="s">
        <v>652</v>
      </c>
      <c r="B148" s="7"/>
      <c r="C148" s="7"/>
      <c r="D148" s="119"/>
      <c r="E148" s="119">
        <v>87</v>
      </c>
      <c r="F148" s="119">
        <v>12</v>
      </c>
      <c r="G148" s="81">
        <v>39</v>
      </c>
      <c r="H148" s="81"/>
      <c r="I148" s="81"/>
      <c r="J148" s="81"/>
      <c r="K148" s="81"/>
      <c r="L148" s="7"/>
      <c r="M148" s="7"/>
      <c r="N148" s="7"/>
      <c r="O148" s="7"/>
      <c r="P148" s="120"/>
      <c r="Q148" s="120"/>
      <c r="R148" s="120"/>
      <c r="S148" s="81">
        <f>E148*F148*G148</f>
        <v>40716</v>
      </c>
      <c r="T148" s="128"/>
      <c r="U148" s="110">
        <f>W148</f>
        <v>71628</v>
      </c>
      <c r="V148" s="4"/>
      <c r="W148" s="1379">
        <f>SUM(W136:W147)</f>
        <v>71628</v>
      </c>
      <c r="X148" s="380"/>
      <c r="Y148" s="380"/>
      <c r="Z148" s="380"/>
      <c r="AA148" s="1375"/>
      <c r="AB148" s="7"/>
    </row>
    <row r="149" spans="1:29" ht="17.25" customHeight="1" thickBot="1" x14ac:dyDescent="0.3">
      <c r="A149" s="234" t="s">
        <v>57</v>
      </c>
      <c r="B149" s="122"/>
      <c r="C149" s="122"/>
      <c r="D149" s="122"/>
      <c r="E149" s="122"/>
      <c r="F149" s="122"/>
      <c r="G149" s="122"/>
      <c r="H149" s="122"/>
      <c r="I149" s="122"/>
      <c r="J149" s="122"/>
      <c r="K149" s="122"/>
      <c r="L149" s="122"/>
      <c r="M149" s="122"/>
      <c r="N149" s="122"/>
      <c r="O149" s="123"/>
      <c r="P149" s="124"/>
      <c r="Q149" s="124"/>
      <c r="R149" s="124"/>
      <c r="S149" s="125">
        <f>SUM(S137:S148)</f>
        <v>71628</v>
      </c>
      <c r="T149" s="128"/>
      <c r="V149" s="380"/>
      <c r="W149" s="946"/>
      <c r="X149" s="380"/>
      <c r="Y149" s="380"/>
      <c r="Z149" s="380"/>
      <c r="AA149" s="1375"/>
      <c r="AB149" s="7"/>
    </row>
    <row r="150" spans="1:29" ht="12" customHeight="1" thickBot="1" x14ac:dyDescent="0.3">
      <c r="A150" s="235"/>
      <c r="B150" s="127"/>
      <c r="C150" s="127"/>
      <c r="D150" s="127"/>
      <c r="E150" s="127"/>
      <c r="F150" s="127"/>
      <c r="G150" s="127"/>
      <c r="H150" s="127"/>
      <c r="I150" s="127"/>
      <c r="J150" s="127"/>
      <c r="K150" s="127"/>
      <c r="L150" s="127"/>
      <c r="M150" s="127"/>
      <c r="N150" s="127"/>
      <c r="O150" s="127"/>
      <c r="P150" s="127"/>
      <c r="Q150" s="127"/>
      <c r="R150" s="127"/>
      <c r="S150" s="128"/>
      <c r="T150" s="657"/>
      <c r="V150" s="380"/>
      <c r="W150" s="4"/>
      <c r="X150" s="4"/>
      <c r="Y150" s="4"/>
      <c r="Z150" s="4"/>
      <c r="AA150" s="1369"/>
      <c r="AB150" s="7"/>
    </row>
    <row r="151" spans="1:29" s="2" customFormat="1" ht="15" customHeight="1" x14ac:dyDescent="0.25">
      <c r="A151" s="555" t="s">
        <v>644</v>
      </c>
      <c r="B151" s="1315"/>
      <c r="C151" s="1315"/>
      <c r="D151" s="1315"/>
      <c r="E151" s="1315"/>
      <c r="F151" s="1316"/>
      <c r="G151" s="1317"/>
      <c r="H151" s="1317"/>
      <c r="I151" s="1317"/>
      <c r="J151" s="1317"/>
      <c r="K151" s="1317"/>
      <c r="L151" s="1315"/>
      <c r="M151" s="1315"/>
      <c r="N151" s="1315"/>
      <c r="O151" s="1315"/>
      <c r="P151" s="1318"/>
      <c r="Q151" s="1318"/>
      <c r="R151" s="1318"/>
      <c r="S151" s="1319" t="s">
        <v>58</v>
      </c>
      <c r="T151" s="657"/>
      <c r="V151" s="380"/>
      <c r="W151" s="8">
        <f t="shared" ref="W151:W159" si="41">S152</f>
        <v>750</v>
      </c>
      <c r="X151" s="4"/>
      <c r="Y151" s="4"/>
      <c r="Z151" s="4"/>
      <c r="AA151" s="1369"/>
      <c r="AB151" s="4"/>
    </row>
    <row r="152" spans="1:29" s="2" customFormat="1" ht="15" customHeight="1" x14ac:dyDescent="0.25">
      <c r="A152" s="231" t="s">
        <v>645</v>
      </c>
      <c r="B152" s="4"/>
      <c r="C152" s="4"/>
      <c r="D152" s="4"/>
      <c r="E152" s="4"/>
      <c r="F152" s="267">
        <v>50</v>
      </c>
      <c r="G152" s="8">
        <v>15</v>
      </c>
      <c r="H152" s="8"/>
      <c r="I152" s="8"/>
      <c r="J152" s="8"/>
      <c r="K152" s="8"/>
      <c r="L152" s="4"/>
      <c r="M152" s="4"/>
      <c r="N152" s="4"/>
      <c r="O152" s="4"/>
      <c r="P152" s="1320"/>
      <c r="Q152" s="1320"/>
      <c r="R152" s="1320"/>
      <c r="S152" s="1321">
        <f t="shared" ref="S152:S158" si="42">F152*G152</f>
        <v>750</v>
      </c>
      <c r="T152" s="657"/>
      <c r="V152" s="380"/>
      <c r="W152" s="8">
        <f t="shared" si="41"/>
        <v>750</v>
      </c>
      <c r="X152" s="4"/>
      <c r="Y152" s="4"/>
      <c r="Z152" s="4"/>
      <c r="AA152" s="1369"/>
      <c r="AB152" s="4"/>
    </row>
    <row r="153" spans="1:29" s="2" customFormat="1" ht="15" customHeight="1" x14ac:dyDescent="0.25">
      <c r="A153" s="231" t="s">
        <v>646</v>
      </c>
      <c r="B153" s="4"/>
      <c r="C153" s="4"/>
      <c r="D153" s="4"/>
      <c r="E153" s="4"/>
      <c r="F153" s="267">
        <v>500</v>
      </c>
      <c r="G153" s="8">
        <v>1.5</v>
      </c>
      <c r="H153" s="8"/>
      <c r="I153" s="8"/>
      <c r="J153" s="8"/>
      <c r="K153" s="8"/>
      <c r="L153" s="4"/>
      <c r="M153" s="4"/>
      <c r="N153" s="4"/>
      <c r="O153" s="4"/>
      <c r="P153" s="1320"/>
      <c r="Q153" s="1320"/>
      <c r="R153" s="1320"/>
      <c r="S153" s="1321">
        <f t="shared" si="42"/>
        <v>750</v>
      </c>
      <c r="T153" s="657"/>
      <c r="V153" s="380"/>
      <c r="W153" s="8">
        <f t="shared" si="41"/>
        <v>750</v>
      </c>
      <c r="X153" s="4"/>
      <c r="Y153" s="4"/>
      <c r="Z153" s="4"/>
      <c r="AA153" s="1369"/>
      <c r="AB153" s="4"/>
    </row>
    <row r="154" spans="1:29" s="2" customFormat="1" ht="15" customHeight="1" x14ac:dyDescent="0.25">
      <c r="A154" s="231" t="s">
        <v>647</v>
      </c>
      <c r="B154" s="4"/>
      <c r="C154" s="4"/>
      <c r="D154" s="4"/>
      <c r="E154" s="4"/>
      <c r="F154" s="267">
        <v>500</v>
      </c>
      <c r="G154" s="8">
        <v>1.5</v>
      </c>
      <c r="H154" s="8"/>
      <c r="I154" s="8"/>
      <c r="J154" s="8"/>
      <c r="K154" s="8"/>
      <c r="L154" s="4"/>
      <c r="M154" s="4"/>
      <c r="N154" s="4"/>
      <c r="O154" s="4"/>
      <c r="P154" s="1320"/>
      <c r="Q154" s="1320"/>
      <c r="R154" s="1320"/>
      <c r="S154" s="1321">
        <f t="shared" si="42"/>
        <v>750</v>
      </c>
      <c r="T154" s="657"/>
      <c r="V154" s="380"/>
      <c r="W154" s="8">
        <f t="shared" si="41"/>
        <v>2040.0000000000002</v>
      </c>
      <c r="X154" s="4"/>
      <c r="Y154" s="4"/>
      <c r="Z154" s="4"/>
      <c r="AA154" s="1369"/>
      <c r="AB154" s="4"/>
    </row>
    <row r="155" spans="1:29" s="2" customFormat="1" ht="15" customHeight="1" x14ac:dyDescent="0.25">
      <c r="A155" s="231" t="s">
        <v>648</v>
      </c>
      <c r="B155" s="4"/>
      <c r="C155" s="4"/>
      <c r="D155" s="4"/>
      <c r="E155" s="4"/>
      <c r="F155" s="267">
        <v>6000</v>
      </c>
      <c r="G155" s="8">
        <v>0.34</v>
      </c>
      <c r="H155" s="8"/>
      <c r="I155" s="8"/>
      <c r="J155" s="8"/>
      <c r="K155" s="8"/>
      <c r="L155" s="4"/>
      <c r="M155" s="4"/>
      <c r="N155" s="4"/>
      <c r="O155" s="4"/>
      <c r="P155" s="1320"/>
      <c r="Q155" s="1320"/>
      <c r="R155" s="1320"/>
      <c r="S155" s="1321">
        <f t="shared" si="42"/>
        <v>2040.0000000000002</v>
      </c>
      <c r="T155" s="657"/>
      <c r="V155" s="380"/>
      <c r="W155" s="8">
        <f t="shared" si="41"/>
        <v>3500</v>
      </c>
      <c r="X155" s="4"/>
      <c r="Y155" s="4"/>
      <c r="Z155" s="4"/>
      <c r="AA155" s="1369"/>
      <c r="AB155" s="4"/>
    </row>
    <row r="156" spans="1:29" s="2" customFormat="1" ht="15" customHeight="1" x14ac:dyDescent="0.25">
      <c r="A156" s="231" t="s">
        <v>649</v>
      </c>
      <c r="B156" s="4"/>
      <c r="C156" s="4"/>
      <c r="D156" s="4"/>
      <c r="E156" s="4"/>
      <c r="F156" s="267">
        <v>500</v>
      </c>
      <c r="G156" s="8">
        <v>7</v>
      </c>
      <c r="H156" s="8"/>
      <c r="I156" s="8"/>
      <c r="J156" s="8"/>
      <c r="K156" s="8"/>
      <c r="L156" s="4"/>
      <c r="M156" s="4"/>
      <c r="N156" s="4"/>
      <c r="O156" s="4"/>
      <c r="P156" s="1320"/>
      <c r="Q156" s="1320"/>
      <c r="R156" s="1320"/>
      <c r="S156" s="1321">
        <f t="shared" si="42"/>
        <v>3500</v>
      </c>
      <c r="T156" s="657"/>
      <c r="V156" s="380"/>
      <c r="W156" s="8">
        <f t="shared" si="41"/>
        <v>2000</v>
      </c>
      <c r="X156" s="4"/>
      <c r="Y156" s="4"/>
      <c r="Z156" s="4"/>
      <c r="AA156" s="1369"/>
      <c r="AB156" s="4"/>
    </row>
    <row r="157" spans="1:29" s="2" customFormat="1" ht="15" customHeight="1" x14ac:dyDescent="0.25">
      <c r="A157" s="231" t="s">
        <v>650</v>
      </c>
      <c r="B157" s="4"/>
      <c r="C157" s="4"/>
      <c r="D157" s="4"/>
      <c r="E157" s="4"/>
      <c r="F157" s="267">
        <v>500</v>
      </c>
      <c r="G157" s="8">
        <v>4</v>
      </c>
      <c r="H157" s="8"/>
      <c r="I157" s="8"/>
      <c r="J157" s="8"/>
      <c r="K157" s="8"/>
      <c r="L157" s="4"/>
      <c r="M157" s="4"/>
      <c r="N157" s="4"/>
      <c r="O157" s="4"/>
      <c r="P157" s="1320"/>
      <c r="Q157" s="1320"/>
      <c r="R157" s="1320"/>
      <c r="S157" s="1321">
        <f t="shared" si="42"/>
        <v>2000</v>
      </c>
      <c r="T157" s="657"/>
      <c r="V157" s="380"/>
      <c r="W157" s="8">
        <f t="shared" si="41"/>
        <v>3500</v>
      </c>
      <c r="X157" s="4"/>
      <c r="Y157" s="4"/>
      <c r="Z157" s="4"/>
      <c r="AA157" s="1369"/>
      <c r="AB157" s="4"/>
    </row>
    <row r="158" spans="1:29" x14ac:dyDescent="0.25">
      <c r="A158" s="231" t="s">
        <v>651</v>
      </c>
      <c r="B158" s="4"/>
      <c r="C158" s="4"/>
      <c r="D158" s="4"/>
      <c r="E158" s="4"/>
      <c r="F158" s="267">
        <v>500</v>
      </c>
      <c r="G158" s="8">
        <v>7</v>
      </c>
      <c r="H158" s="8"/>
      <c r="I158" s="8"/>
      <c r="J158" s="8"/>
      <c r="K158" s="8"/>
      <c r="L158" s="4"/>
      <c r="M158" s="4"/>
      <c r="N158" s="4"/>
      <c r="O158" s="4"/>
      <c r="P158" s="1320"/>
      <c r="Q158" s="1320"/>
      <c r="R158" s="1320"/>
      <c r="S158" s="1321">
        <f t="shared" si="42"/>
        <v>3500</v>
      </c>
      <c r="T158" s="110"/>
      <c r="V158" s="4"/>
      <c r="W158" s="81">
        <f t="shared" si="41"/>
        <v>732</v>
      </c>
      <c r="X158" s="8"/>
      <c r="Y158" s="8"/>
      <c r="Z158" s="8"/>
      <c r="AA158" s="1372"/>
      <c r="AB158" s="7"/>
    </row>
    <row r="159" spans="1:29" x14ac:dyDescent="0.25">
      <c r="A159" s="557" t="s">
        <v>151</v>
      </c>
      <c r="B159" s="139"/>
      <c r="C159" s="7"/>
      <c r="D159" s="7"/>
      <c r="E159" s="7">
        <v>3</v>
      </c>
      <c r="F159" s="119">
        <v>61</v>
      </c>
      <c r="G159" s="81">
        <v>4</v>
      </c>
      <c r="H159" s="81"/>
      <c r="I159" s="81"/>
      <c r="J159" s="81"/>
      <c r="K159" s="81"/>
      <c r="L159" s="7"/>
      <c r="M159" s="7"/>
      <c r="N159" s="7"/>
      <c r="O159" s="7"/>
      <c r="P159" s="138"/>
      <c r="Q159" s="138"/>
      <c r="R159" s="138"/>
      <c r="S159" s="1321">
        <f>E159*F159*G159</f>
        <v>732</v>
      </c>
      <c r="T159" s="110"/>
      <c r="V159" s="4"/>
      <c r="W159" s="81">
        <f t="shared" si="41"/>
        <v>1100</v>
      </c>
      <c r="X159" s="8"/>
      <c r="Y159" s="8"/>
      <c r="Z159" s="8"/>
      <c r="AA159" s="1372"/>
      <c r="AB159" s="7"/>
      <c r="AC159" s="106"/>
    </row>
    <row r="160" spans="1:29" ht="18.75" customHeight="1" thickBot="1" x14ac:dyDescent="0.3">
      <c r="A160" s="558" t="s">
        <v>403</v>
      </c>
      <c r="B160" s="139"/>
      <c r="C160" s="7"/>
      <c r="D160" s="7"/>
      <c r="E160" s="7"/>
      <c r="F160" s="119"/>
      <c r="G160" s="81">
        <v>1100</v>
      </c>
      <c r="H160" s="81"/>
      <c r="I160" s="81"/>
      <c r="J160" s="81"/>
      <c r="K160" s="81"/>
      <c r="L160" s="7"/>
      <c r="M160" s="7"/>
      <c r="N160" s="7"/>
      <c r="O160" s="7"/>
      <c r="P160" s="138"/>
      <c r="Q160" s="138"/>
      <c r="R160" s="138"/>
      <c r="S160" s="1321">
        <f>G160</f>
        <v>1100</v>
      </c>
      <c r="T160" s="641"/>
      <c r="U160" s="110"/>
      <c r="V160" s="4"/>
      <c r="W160" s="581">
        <f>SUM(W151:W159)</f>
        <v>15122</v>
      </c>
      <c r="X160" s="941"/>
      <c r="Y160" s="8"/>
      <c r="Z160" s="8"/>
      <c r="AA160" s="1372"/>
      <c r="AB160" s="7"/>
    </row>
    <row r="161" spans="1:32" ht="23.25" customHeight="1" thickBot="1" x14ac:dyDescent="0.3">
      <c r="A161" s="556" t="s">
        <v>19</v>
      </c>
      <c r="B161" s="140"/>
      <c r="C161" s="140"/>
      <c r="D161" s="140"/>
      <c r="E161" s="140"/>
      <c r="F161" s="141"/>
      <c r="G161" s="142"/>
      <c r="H161" s="142"/>
      <c r="I161" s="142"/>
      <c r="J161" s="142"/>
      <c r="K161" s="142"/>
      <c r="L161" s="140"/>
      <c r="M161" s="140"/>
      <c r="N161" s="140"/>
      <c r="O161" s="140"/>
      <c r="P161" s="143"/>
      <c r="Q161" s="143"/>
      <c r="R161" s="143"/>
      <c r="S161" s="1478">
        <f>SUM(S152:S160)</f>
        <v>15122</v>
      </c>
      <c r="T161" s="110"/>
      <c r="V161" s="4"/>
      <c r="W161" s="81"/>
      <c r="X161" s="81"/>
      <c r="Y161" s="81"/>
      <c r="Z161" s="81"/>
      <c r="AA161" s="1376"/>
      <c r="AB161" s="1363">
        <f>AB130</f>
        <v>10000</v>
      </c>
      <c r="AC161" s="106">
        <f>S162</f>
        <v>90000</v>
      </c>
    </row>
    <row r="162" spans="1:32" ht="21.95" customHeight="1" thickBot="1" x14ac:dyDescent="0.3">
      <c r="A162" s="1322" t="s">
        <v>405</v>
      </c>
      <c r="B162" s="1323"/>
      <c r="C162" s="1323"/>
      <c r="D162" s="1323"/>
      <c r="E162" s="1323"/>
      <c r="F162" s="1324"/>
      <c r="G162" s="1325">
        <v>90000</v>
      </c>
      <c r="H162" s="1325"/>
      <c r="I162" s="1325"/>
      <c r="J162" s="1325"/>
      <c r="K162" s="1325"/>
      <c r="L162" s="1323"/>
      <c r="M162" s="1323"/>
      <c r="N162" s="1323"/>
      <c r="O162" s="1323"/>
      <c r="P162" s="1326"/>
      <c r="Q162" s="1326"/>
      <c r="R162" s="1326"/>
      <c r="S162" s="1357">
        <f>G162</f>
        <v>90000</v>
      </c>
      <c r="T162" s="658"/>
      <c r="U162" s="110"/>
      <c r="V162" s="2"/>
      <c r="W162" s="1364"/>
      <c r="X162" s="1364"/>
      <c r="Y162" s="1364"/>
      <c r="Z162" s="1364"/>
      <c r="AA162" s="1377"/>
      <c r="AB162" s="7"/>
    </row>
    <row r="163" spans="1:32" ht="30" customHeight="1" thickBot="1" x14ac:dyDescent="0.3">
      <c r="A163" s="549" t="s">
        <v>59</v>
      </c>
      <c r="B163" s="145"/>
      <c r="C163" s="145"/>
      <c r="D163" s="145"/>
      <c r="E163" s="145"/>
      <c r="F163" s="145"/>
      <c r="G163" s="145"/>
      <c r="H163" s="145"/>
      <c r="I163" s="145"/>
      <c r="J163" s="145"/>
      <c r="K163" s="145"/>
      <c r="L163" s="145"/>
      <c r="M163" s="145"/>
      <c r="N163" s="145"/>
      <c r="O163" s="145"/>
      <c r="P163" s="857"/>
      <c r="Q163" s="857"/>
      <c r="R163" s="857"/>
      <c r="S163" s="856">
        <f>S132+S149+S161+S162</f>
        <v>297800</v>
      </c>
      <c r="T163" s="659"/>
      <c r="U163" s="129">
        <f>SUM(V163:AC163)</f>
        <v>5117096.762299425</v>
      </c>
      <c r="V163" s="948">
        <f>V123</f>
        <v>4819296.762299425</v>
      </c>
      <c r="W163" s="948">
        <f>W148+W160</f>
        <v>86750</v>
      </c>
      <c r="X163" s="1367">
        <f>X133</f>
        <v>57600</v>
      </c>
      <c r="Y163" s="1367">
        <f>Y133</f>
        <v>3200</v>
      </c>
      <c r="Z163" s="1367">
        <f>Z133</f>
        <v>29250</v>
      </c>
      <c r="AA163" s="1378">
        <f>AA133</f>
        <v>21000</v>
      </c>
      <c r="AB163" s="1379">
        <f>AB161</f>
        <v>10000</v>
      </c>
      <c r="AC163" s="20">
        <f>AC161</f>
        <v>90000</v>
      </c>
    </row>
    <row r="164" spans="1:32" ht="20.100000000000001" customHeight="1" thickBot="1" x14ac:dyDescent="0.3">
      <c r="A164" s="236" t="s">
        <v>60</v>
      </c>
      <c r="B164" s="149"/>
      <c r="C164" s="149"/>
      <c r="D164" s="149"/>
      <c r="E164" s="149"/>
      <c r="F164" s="150"/>
      <c r="G164" s="151"/>
      <c r="H164" s="151"/>
      <c r="I164" s="151"/>
      <c r="J164" s="151"/>
      <c r="K164" s="151"/>
      <c r="L164" s="152"/>
      <c r="M164" s="149"/>
      <c r="N164" s="149"/>
      <c r="O164" s="149"/>
      <c r="P164" s="153"/>
      <c r="Q164" s="153"/>
      <c r="R164" s="153"/>
      <c r="S164" s="154">
        <f>S163+S124</f>
        <v>5117096.7622994259</v>
      </c>
      <c r="T164" s="655"/>
      <c r="U164" s="159"/>
      <c r="V164" s="1380"/>
      <c r="W164" s="1365"/>
      <c r="X164" s="1365"/>
      <c r="Y164" s="1365"/>
      <c r="Z164" s="1365"/>
      <c r="AA164" s="1365"/>
      <c r="AB164" s="81"/>
    </row>
    <row r="165" spans="1:32" ht="28.5" customHeight="1" x14ac:dyDescent="0.25">
      <c r="A165" s="237" t="s">
        <v>61</v>
      </c>
      <c r="B165" s="156"/>
      <c r="C165" s="156"/>
      <c r="D165" s="156"/>
      <c r="E165" s="156"/>
      <c r="F165" s="156"/>
      <c r="G165" s="156"/>
      <c r="H165" s="156"/>
      <c r="I165" s="156"/>
      <c r="J165" s="156"/>
      <c r="K165" s="156"/>
      <c r="L165" s="157"/>
      <c r="M165" s="156"/>
      <c r="N165" s="156"/>
      <c r="O165" s="156"/>
      <c r="P165" s="158"/>
      <c r="Q165" s="158"/>
      <c r="R165" s="158"/>
      <c r="S165" s="1520">
        <f>S168</f>
        <v>417555.08684363315</v>
      </c>
      <c r="T165" s="99"/>
      <c r="U165" s="1423">
        <f>SUM(V165:AA165)</f>
        <v>205018.62984443683</v>
      </c>
      <c r="V165" s="1381">
        <f>V163*4.02%</f>
        <v>193735.72984443684</v>
      </c>
      <c r="W165" s="1381">
        <f>W163*6.4%</f>
        <v>5552</v>
      </c>
      <c r="X165" s="1381">
        <f>X163*4.4%</f>
        <v>2534.4</v>
      </c>
      <c r="Y165" s="1381">
        <f>Y163*6%</f>
        <v>192</v>
      </c>
      <c r="Z165" s="1381">
        <f>Z163*6%</f>
        <v>1755</v>
      </c>
      <c r="AA165" s="1381">
        <f>AA163*5.95%</f>
        <v>1249.5</v>
      </c>
      <c r="AB165" s="1381"/>
    </row>
    <row r="166" spans="1:32" ht="31.5" customHeight="1" x14ac:dyDescent="0.25">
      <c r="A166" s="238" t="s">
        <v>62</v>
      </c>
      <c r="B166" s="283">
        <v>0.04</v>
      </c>
      <c r="C166" s="7"/>
      <c r="D166" s="7"/>
      <c r="E166" s="7"/>
      <c r="F166" s="7"/>
      <c r="G166" s="160">
        <f>S164</f>
        <v>5117096.7622994259</v>
      </c>
      <c r="H166" s="160"/>
      <c r="I166" s="160"/>
      <c r="J166" s="160"/>
      <c r="K166" s="160"/>
      <c r="L166" s="7"/>
      <c r="M166" s="7"/>
      <c r="N166" s="7"/>
      <c r="O166" s="7"/>
      <c r="P166" s="161"/>
      <c r="Q166" s="161"/>
      <c r="R166" s="161"/>
      <c r="S166" s="162">
        <f>(G166*B166)+0.001</f>
        <v>204683.87149197704</v>
      </c>
      <c r="T166" s="660"/>
      <c r="U166" s="1423">
        <f>V166+W166+X166+Y166+Z166+AA166</f>
        <v>213052.75134675449</v>
      </c>
      <c r="V166" s="164">
        <f>(V163+V165)*4%</f>
        <v>200521.29968575449</v>
      </c>
      <c r="W166" s="164">
        <f>(W163+W165)*7%-20-0.24</f>
        <v>6440.9000000000005</v>
      </c>
      <c r="X166" s="164">
        <f>(X163+X165)*4.469%-1.81</f>
        <v>2685.5963360000001</v>
      </c>
      <c r="Y166" s="164">
        <f>(Y163+Y165)*6%-0.32</f>
        <v>203.2</v>
      </c>
      <c r="Z166" s="164">
        <f>(Z163+Z165)*5.96%+11.1</f>
        <v>1858.9979999999998</v>
      </c>
      <c r="AA166" s="164">
        <f>(AA163+AA165)*6.035%</f>
        <v>1342.757325</v>
      </c>
      <c r="AB166" s="7"/>
    </row>
    <row r="167" spans="1:32" ht="30" customHeight="1" x14ac:dyDescent="0.25">
      <c r="A167" s="232" t="s">
        <v>20</v>
      </c>
      <c r="B167" s="283">
        <v>0.04</v>
      </c>
      <c r="C167" s="7"/>
      <c r="D167" s="7"/>
      <c r="E167" s="7"/>
      <c r="F167" s="7"/>
      <c r="G167" s="160">
        <f>G166+S166</f>
        <v>5321780.6337914029</v>
      </c>
      <c r="H167" s="160"/>
      <c r="I167" s="160"/>
      <c r="J167" s="160"/>
      <c r="K167" s="160"/>
      <c r="L167" s="7"/>
      <c r="M167" s="7"/>
      <c r="N167" s="7"/>
      <c r="O167" s="7"/>
      <c r="P167" s="80"/>
      <c r="Q167" s="80"/>
      <c r="R167" s="80"/>
      <c r="S167" s="160">
        <f>G167*B167</f>
        <v>212871.22535165612</v>
      </c>
      <c r="T167" s="661"/>
      <c r="U167" s="634"/>
      <c r="V167" s="164">
        <v>-516.72</v>
      </c>
      <c r="W167" s="96">
        <v>0.69</v>
      </c>
      <c r="X167" s="96"/>
      <c r="Y167" s="96"/>
      <c r="Z167" s="96"/>
      <c r="AA167" s="96"/>
      <c r="AB167" s="1389"/>
    </row>
    <row r="168" spans="1:32" ht="27.6" customHeight="1" thickBot="1" x14ac:dyDescent="0.35">
      <c r="A168" s="240" t="s">
        <v>21</v>
      </c>
      <c r="B168" s="168"/>
      <c r="C168" s="168"/>
      <c r="D168" s="168"/>
      <c r="E168" s="168"/>
      <c r="F168" s="168"/>
      <c r="G168" s="168"/>
      <c r="H168" s="168"/>
      <c r="I168" s="168"/>
      <c r="J168" s="168"/>
      <c r="K168" s="168"/>
      <c r="L168" s="168"/>
      <c r="M168" s="168"/>
      <c r="N168" s="168"/>
      <c r="O168" s="168"/>
      <c r="P168" s="169"/>
      <c r="Q168" s="169"/>
      <c r="R168" s="169"/>
      <c r="S168" s="170">
        <f>SUM(S166:S167)-0.01</f>
        <v>417555.08684363315</v>
      </c>
      <c r="T168" s="662"/>
      <c r="U168" s="634">
        <f>SUM(V168:AC168)</f>
        <v>5534651.8534906171</v>
      </c>
      <c r="V168" s="151">
        <f>SUM(V163:V167)</f>
        <v>5213037.071829617</v>
      </c>
      <c r="W168" s="151">
        <f>W163+W165+W166+W167</f>
        <v>98743.59</v>
      </c>
      <c r="X168" s="151">
        <f t="shared" ref="X168:Y168" si="43">X163+X165+X166</f>
        <v>62819.996336000004</v>
      </c>
      <c r="Y168" s="151">
        <f t="shared" si="43"/>
        <v>3595.2</v>
      </c>
      <c r="Z168" s="151">
        <f>Z163+Z165+Z166</f>
        <v>32863.998</v>
      </c>
      <c r="AA168" s="151">
        <f>SUM(AA163:AA167)-0.26</f>
        <v>23591.997325</v>
      </c>
      <c r="AB168" s="151">
        <f>AB163</f>
        <v>10000</v>
      </c>
      <c r="AC168" s="193">
        <v>90000</v>
      </c>
      <c r="AF168" s="106"/>
    </row>
    <row r="169" spans="1:32" ht="21.6" customHeight="1" thickTop="1" thickBot="1" x14ac:dyDescent="0.35">
      <c r="A169" s="241" t="s">
        <v>22</v>
      </c>
      <c r="B169" s="173"/>
      <c r="C169" s="173"/>
      <c r="D169" s="173"/>
      <c r="E169" s="173"/>
      <c r="F169" s="173"/>
      <c r="G169" s="173"/>
      <c r="H169" s="173"/>
      <c r="I169" s="173"/>
      <c r="J169" s="173"/>
      <c r="K169" s="173"/>
      <c r="L169" s="173"/>
      <c r="M169" s="173"/>
      <c r="N169" s="173"/>
      <c r="O169" s="173"/>
      <c r="P169" s="174"/>
      <c r="Q169" s="174"/>
      <c r="R169" s="174"/>
      <c r="S169" s="175">
        <f>S164+S165</f>
        <v>5534651.849143059</v>
      </c>
      <c r="T169" s="660"/>
      <c r="U169" s="634">
        <f>SUM(V169:AB169)</f>
        <v>544465.18534906185</v>
      </c>
      <c r="V169" s="1410">
        <f t="shared" ref="V169:AB169" si="44">V168*10%</f>
        <v>521303.70718296175</v>
      </c>
      <c r="W169" s="1385">
        <f t="shared" si="44"/>
        <v>9874.3590000000004</v>
      </c>
      <c r="X169" s="1385">
        <f t="shared" si="44"/>
        <v>6281.9996336000004</v>
      </c>
      <c r="Y169" s="1385">
        <f t="shared" si="44"/>
        <v>359.52</v>
      </c>
      <c r="Z169" s="1385">
        <f t="shared" si="44"/>
        <v>3286.3998000000001</v>
      </c>
      <c r="AA169" s="1385">
        <f t="shared" si="44"/>
        <v>2359.1997325000002</v>
      </c>
      <c r="AB169" s="1386">
        <f t="shared" si="44"/>
        <v>1000</v>
      </c>
    </row>
    <row r="170" spans="1:32" ht="36.75" customHeight="1" thickTop="1" x14ac:dyDescent="0.25">
      <c r="A170" s="216" t="s">
        <v>63</v>
      </c>
      <c r="B170" s="179">
        <v>0.1</v>
      </c>
      <c r="G170" s="20">
        <f>S169</f>
        <v>5534651.849143059</v>
      </c>
      <c r="H170" s="20"/>
      <c r="I170" s="20"/>
      <c r="J170" s="20"/>
      <c r="K170" s="20"/>
      <c r="P170" s="180"/>
      <c r="Q170" s="180"/>
      <c r="R170" s="180"/>
      <c r="S170" s="160">
        <f>S169*B170</f>
        <v>553465.18491430592</v>
      </c>
      <c r="T170" s="663"/>
      <c r="U170" s="634"/>
      <c r="V170" s="106"/>
      <c r="W170" s="1366"/>
      <c r="X170" s="1366"/>
      <c r="Y170" s="1366"/>
      <c r="Z170" s="1366"/>
      <c r="AA170" s="1366"/>
    </row>
    <row r="171" spans="1:32" ht="15.75" x14ac:dyDescent="0.25">
      <c r="A171" s="242" t="s">
        <v>23</v>
      </c>
      <c r="B171" s="181"/>
      <c r="C171" s="181"/>
      <c r="D171" s="181"/>
      <c r="E171" s="181"/>
      <c r="F171" s="181"/>
      <c r="G171" s="181"/>
      <c r="H171" s="181"/>
      <c r="I171" s="181"/>
      <c r="J171" s="181"/>
      <c r="K171" s="181"/>
      <c r="L171" s="181"/>
      <c r="M171" s="181"/>
      <c r="N171" s="181"/>
      <c r="O171" s="181"/>
      <c r="P171" s="182"/>
      <c r="Q171" s="182"/>
      <c r="R171" s="182"/>
      <c r="S171" s="183">
        <f>S169+S170</f>
        <v>6088117.0340573648</v>
      </c>
      <c r="U171" s="634"/>
      <c r="V171" s="184"/>
      <c r="W171" s="106"/>
      <c r="X171" s="1415"/>
      <c r="Y171" s="193"/>
      <c r="Z171" s="106"/>
    </row>
    <row r="172" spans="1:32" ht="30.75" customHeight="1" thickBot="1" x14ac:dyDescent="0.3">
      <c r="K172" s="20"/>
      <c r="T172" s="110"/>
      <c r="U172" s="660"/>
      <c r="W172" s="951"/>
      <c r="X172" s="1039"/>
      <c r="Y172" s="193"/>
      <c r="AA172" s="106"/>
    </row>
    <row r="173" spans="1:32" ht="15.75" thickBot="1" x14ac:dyDescent="0.3">
      <c r="P173" s="20"/>
      <c r="Q173" s="20"/>
      <c r="R173" s="20"/>
      <c r="S173" s="106"/>
      <c r="U173" s="1433"/>
      <c r="V173" t="s">
        <v>64</v>
      </c>
      <c r="W173" s="952">
        <f>V168+W168-0.01</f>
        <v>5311780.6518296171</v>
      </c>
      <c r="X173" s="1040"/>
      <c r="Y173" s="1388"/>
      <c r="Z173" s="188"/>
      <c r="AA173" s="189"/>
    </row>
    <row r="174" spans="1:32" ht="15.75" thickBot="1" x14ac:dyDescent="0.3">
      <c r="D174" t="s">
        <v>675</v>
      </c>
      <c r="E174" t="s">
        <v>676</v>
      </c>
      <c r="P174" s="186"/>
      <c r="Q174" s="186"/>
      <c r="R174" s="186"/>
      <c r="U174" s="1433"/>
      <c r="V174" s="950" t="s">
        <v>670</v>
      </c>
      <c r="W174" s="1413">
        <v>62820</v>
      </c>
      <c r="X174" s="1382"/>
      <c r="Y174" s="1416">
        <f>Z174*180</f>
        <v>10780.2</v>
      </c>
      <c r="Z174" s="1419">
        <f>'ANNEX 3BIS POS VTEH '!E12</f>
        <v>59.89</v>
      </c>
    </row>
    <row r="175" spans="1:32" ht="15.75" thickBot="1" x14ac:dyDescent="0.3">
      <c r="A175" t="s">
        <v>64</v>
      </c>
      <c r="B175" s="952">
        <v>5311780.6518296199</v>
      </c>
      <c r="C175" s="1040"/>
      <c r="D175" s="1388"/>
      <c r="E175" s="188"/>
      <c r="G175" s="190"/>
      <c r="H175" s="190"/>
      <c r="I175" s="190"/>
      <c r="J175" s="190"/>
      <c r="M175" s="186"/>
      <c r="N175" s="186"/>
      <c r="O175" s="20"/>
      <c r="U175" s="1434"/>
      <c r="V175" s="950" t="s">
        <v>661</v>
      </c>
      <c r="W175" s="1414">
        <f>'ANNEX 3BIS POS VTEH '!F13</f>
        <v>4350.5</v>
      </c>
      <c r="X175" s="1383"/>
      <c r="Y175" s="1417">
        <f>20*Z175</f>
        <v>1582</v>
      </c>
      <c r="Z175" s="1420">
        <f>'ANNEX 3BIS POS VTEH '!E13</f>
        <v>79.099999999999994</v>
      </c>
      <c r="AA175" s="202"/>
    </row>
    <row r="176" spans="1:32" x14ac:dyDescent="0.25">
      <c r="A176" s="950" t="s">
        <v>670</v>
      </c>
      <c r="B176" s="1413">
        <v>62820</v>
      </c>
      <c r="C176" s="1382"/>
      <c r="D176" s="1416">
        <v>62820</v>
      </c>
      <c r="E176" s="1419">
        <v>349</v>
      </c>
      <c r="F176" s="191"/>
      <c r="G176" s="192"/>
      <c r="H176" s="192"/>
      <c r="I176" s="192"/>
      <c r="J176" s="193"/>
      <c r="K176" s="194"/>
      <c r="L176" s="195"/>
      <c r="O176" s="196"/>
      <c r="P176" s="197"/>
      <c r="Q176" s="197"/>
      <c r="R176" s="197"/>
      <c r="S176" s="20"/>
      <c r="V176" s="198" t="s">
        <v>662</v>
      </c>
      <c r="W176" s="1412">
        <f>'ANNEX 3BIS POS VTEH '!F14</f>
        <v>2191.8000000000002</v>
      </c>
      <c r="X176" s="1384"/>
      <c r="Y176" s="1417">
        <f>650*Z176</f>
        <v>130</v>
      </c>
      <c r="Z176" s="1420">
        <f>'ANNEX 3BIS POS VTEH '!E14</f>
        <v>0.2</v>
      </c>
      <c r="AA176" s="20"/>
    </row>
    <row r="177" spans="1:28" x14ac:dyDescent="0.25">
      <c r="A177" s="950" t="s">
        <v>661</v>
      </c>
      <c r="B177" s="1414">
        <v>3595.2</v>
      </c>
      <c r="C177" s="1383"/>
      <c r="D177" s="1417">
        <v>3595.2</v>
      </c>
      <c r="E177" s="1420">
        <v>179.76</v>
      </c>
      <c r="G177" s="199"/>
      <c r="H177" s="199"/>
      <c r="I177" s="199"/>
      <c r="J177" s="193"/>
      <c r="K177" s="179"/>
      <c r="L177" s="194"/>
      <c r="V177" t="s">
        <v>663</v>
      </c>
      <c r="W177" s="1400">
        <f>'ANNEX 3BIS POS VTEH '!F17</f>
        <v>13932.9</v>
      </c>
      <c r="X177" s="1384"/>
      <c r="Y177" s="1416">
        <f>600*Z177</f>
        <v>61020</v>
      </c>
      <c r="Z177" s="1420">
        <f>'ANNEX 3BIS POS VTEH '!E17</f>
        <v>101.7</v>
      </c>
      <c r="AA177" s="106"/>
    </row>
    <row r="178" spans="1:28" ht="15.75" thickBot="1" x14ac:dyDescent="0.3">
      <c r="A178" s="198" t="s">
        <v>662</v>
      </c>
      <c r="B178" s="1412">
        <v>32864</v>
      </c>
      <c r="C178" s="1384"/>
      <c r="D178" s="1417">
        <v>32864</v>
      </c>
      <c r="E178" s="1420">
        <v>50.56</v>
      </c>
      <c r="G178" s="192"/>
      <c r="H178" s="192"/>
      <c r="I178" s="192"/>
      <c r="J178" s="193"/>
      <c r="K178" s="201"/>
      <c r="L178" s="194"/>
      <c r="O178" s="20"/>
      <c r="R178" s="20"/>
      <c r="V178" t="s">
        <v>666</v>
      </c>
      <c r="W178" s="1400">
        <f>'ANNEX 3BIS POS VTEH '!F18</f>
        <v>5695.2</v>
      </c>
      <c r="Y178" s="1418">
        <f>10*1000</f>
        <v>10000</v>
      </c>
      <c r="Z178" s="1421">
        <v>1000</v>
      </c>
    </row>
    <row r="179" spans="1:28" ht="15.75" thickBot="1" x14ac:dyDescent="0.3">
      <c r="A179" t="s">
        <v>663</v>
      </c>
      <c r="B179" s="1400">
        <v>23592</v>
      </c>
      <c r="C179" s="1384"/>
      <c r="D179" s="1416">
        <v>23592</v>
      </c>
      <c r="E179" s="1420">
        <v>39.32</v>
      </c>
      <c r="G179" s="20"/>
      <c r="H179" s="20"/>
      <c r="I179" s="20"/>
      <c r="J179" s="202"/>
      <c r="L179" s="193"/>
      <c r="V179" t="s">
        <v>660</v>
      </c>
      <c r="W179" s="1400">
        <v>90000</v>
      </c>
      <c r="Y179" s="1387">
        <f>SUM(Y174:Y178)</f>
        <v>83512.2</v>
      </c>
      <c r="AB179" s="106"/>
    </row>
    <row r="180" spans="1:28" ht="15.75" thickBot="1" x14ac:dyDescent="0.3">
      <c r="A180" t="s">
        <v>666</v>
      </c>
      <c r="B180" s="1400">
        <v>10000</v>
      </c>
      <c r="D180" s="1418">
        <v>10000</v>
      </c>
      <c r="E180" s="1421">
        <v>1000</v>
      </c>
      <c r="G180" s="20"/>
      <c r="H180" s="20"/>
      <c r="I180" s="20"/>
      <c r="L180" s="202"/>
      <c r="O180" s="203"/>
      <c r="W180" s="1422">
        <f>SUM(W173:W179)</f>
        <v>5490771.0518296175</v>
      </c>
    </row>
    <row r="181" spans="1:28" ht="15.75" thickBot="1" x14ac:dyDescent="0.3">
      <c r="A181" t="s">
        <v>660</v>
      </c>
      <c r="B181" s="1400">
        <v>90000</v>
      </c>
      <c r="D181" s="1387">
        <v>132871.20000000001</v>
      </c>
      <c r="G181" s="20"/>
      <c r="H181" s="20"/>
      <c r="I181" s="20"/>
      <c r="K181" s="194"/>
      <c r="O181" s="194"/>
      <c r="S181" s="20"/>
      <c r="W181" s="20"/>
      <c r="X181" s="106"/>
      <c r="Y181" s="106"/>
    </row>
    <row r="182" spans="1:28" ht="15.75" thickBot="1" x14ac:dyDescent="0.3">
      <c r="A182"/>
      <c r="B182" s="1422">
        <v>5534651.8518296173</v>
      </c>
      <c r="G182" s="20"/>
      <c r="H182" s="20"/>
      <c r="I182" s="20"/>
      <c r="J182" s="195"/>
      <c r="K182" s="202"/>
      <c r="W182" s="193"/>
      <c r="X182" s="106"/>
    </row>
    <row r="183" spans="1:28" x14ac:dyDescent="0.25">
      <c r="J183" s="202"/>
      <c r="W183" s="20"/>
      <c r="Y183" s="20"/>
    </row>
    <row r="184" spans="1:28" x14ac:dyDescent="0.25">
      <c r="G184" s="20"/>
      <c r="H184" s="20"/>
      <c r="I184" s="20"/>
      <c r="T184" s="660"/>
      <c r="V184" s="106"/>
      <c r="W184" s="106"/>
    </row>
    <row r="185" spans="1:28" x14ac:dyDescent="0.25">
      <c r="S185" s="20"/>
      <c r="Y185" s="193"/>
    </row>
    <row r="186" spans="1:28" x14ac:dyDescent="0.25">
      <c r="Y186" s="193"/>
    </row>
    <row r="189" spans="1:28" x14ac:dyDescent="0.25">
      <c r="V189" s="106"/>
    </row>
  </sheetData>
  <mergeCells count="3">
    <mergeCell ref="A1:U1"/>
    <mergeCell ref="A3:U3"/>
    <mergeCell ref="A4:U4"/>
  </mergeCells>
  <printOptions horizontalCentered="1"/>
  <pageMargins left="3.937007874015748E-2" right="0.23622047244094491" top="0.35433070866141736" bottom="0" header="0.31496062992125984" footer="0.11811023622047245"/>
  <pageSetup paperSize="8" scale="60" orientation="landscape" r:id="rId1"/>
  <customProperties>
    <customPr name="EpmWorksheetKeyString_GUID" r:id="rId2"/>
  </customProperties>
  <ignoredErrors>
    <ignoredError sqref="M58 M56 Q68 R75 Q64 Q61 R66 R55 Q85 R93 R96:S96 R109 M110 M105 Q105:Q106 Q36 Q95:Q96 M82 S36 S43 S82" formula="1"/>
    <ignoredError sqref="Q15:Q16 R15"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45884-EBC7-499C-8371-5485EA1AF093}">
  <sheetPr>
    <tabColor theme="3" tint="0.39997558519241921"/>
  </sheetPr>
  <dimension ref="A1:AE133"/>
  <sheetViews>
    <sheetView topLeftCell="A111" zoomScale="90" zoomScaleNormal="90" workbookViewId="0">
      <selection activeCell="F124" sqref="F124"/>
    </sheetView>
  </sheetViews>
  <sheetFormatPr defaultColWidth="10.85546875" defaultRowHeight="15" x14ac:dyDescent="0.25"/>
  <cols>
    <col min="1" max="1" width="74.5703125" style="216" customWidth="1"/>
    <col min="2" max="2" width="10.5703125" bestFit="1" customWidth="1"/>
    <col min="3" max="3" width="9.140625" customWidth="1"/>
    <col min="4" max="4" width="14.7109375" customWidth="1"/>
    <col min="5" max="5" width="15.7109375" bestFit="1" customWidth="1"/>
    <col min="6" max="6" width="15.28515625" customWidth="1"/>
    <col min="7" max="7" width="15.42578125" bestFit="1" customWidth="1"/>
    <col min="8" max="8" width="13.7109375" customWidth="1"/>
    <col min="9" max="9" width="14" bestFit="1" customWidth="1"/>
    <col min="10" max="10" width="15.7109375" customWidth="1"/>
    <col min="11" max="11" width="18" customWidth="1"/>
    <col min="12" max="12" width="13.5703125" bestFit="1" customWidth="1"/>
    <col min="13" max="13" width="15.140625" hidden="1" customWidth="1"/>
    <col min="14" max="14" width="14.7109375" hidden="1" customWidth="1"/>
    <col min="15" max="15" width="9.28515625" hidden="1" customWidth="1"/>
    <col min="16" max="16" width="18.5703125" bestFit="1" customWidth="1"/>
    <col min="17" max="17" width="18.140625" customWidth="1"/>
    <col min="18" max="18" width="21" customWidth="1"/>
    <col min="19" max="19" width="14.140625" style="2" customWidth="1"/>
    <col min="20" max="20" width="14.5703125" hidden="1" customWidth="1"/>
    <col min="21" max="21" width="27.85546875" hidden="1" customWidth="1"/>
    <col min="22" max="22" width="15.5703125" hidden="1" customWidth="1"/>
    <col min="23" max="23" width="16.7109375" hidden="1" customWidth="1"/>
    <col min="24" max="24" width="16" hidden="1" customWidth="1"/>
    <col min="25" max="25" width="16.7109375" hidden="1" customWidth="1"/>
    <col min="26" max="26" width="14.7109375" hidden="1" customWidth="1"/>
    <col min="27" max="27" width="12.85546875" hidden="1" customWidth="1"/>
    <col min="28" max="28" width="14.85546875" hidden="1" customWidth="1"/>
    <col min="29" max="29" width="12" hidden="1" customWidth="1"/>
    <col min="30" max="30" width="12.42578125" hidden="1" customWidth="1"/>
    <col min="31" max="31" width="13.28515625" hidden="1" customWidth="1"/>
    <col min="32" max="49" width="10.85546875" customWidth="1"/>
  </cols>
  <sheetData>
    <row r="1" spans="1:24" ht="18.75" x14ac:dyDescent="0.25">
      <c r="A1" s="1692" t="s">
        <v>586</v>
      </c>
      <c r="B1" s="1692"/>
      <c r="C1" s="1692"/>
      <c r="D1" s="1692"/>
      <c r="E1" s="1692"/>
      <c r="F1" s="1692"/>
      <c r="G1" s="1692"/>
      <c r="H1" s="1692"/>
      <c r="I1" s="1692"/>
      <c r="J1" s="1692"/>
      <c r="K1" s="1692"/>
      <c r="L1" s="1692"/>
      <c r="M1" s="1692"/>
      <c r="N1" s="1692"/>
      <c r="O1" s="1692"/>
      <c r="P1" s="1692"/>
      <c r="Q1" s="1692"/>
      <c r="R1" s="1692"/>
      <c r="S1" s="1692"/>
      <c r="T1" s="1692"/>
      <c r="U1" s="425"/>
      <c r="W1" s="202"/>
      <c r="X1" s="202"/>
    </row>
    <row r="2" spans="1:24" x14ac:dyDescent="0.25">
      <c r="W2" s="202"/>
      <c r="X2" s="202"/>
    </row>
    <row r="3" spans="1:24" ht="15.75" x14ac:dyDescent="0.25">
      <c r="A3" s="1693" t="s">
        <v>0</v>
      </c>
      <c r="B3" s="1693"/>
      <c r="C3" s="1693"/>
      <c r="D3" s="1693"/>
      <c r="E3" s="1693"/>
      <c r="F3" s="1693"/>
      <c r="G3" s="1693"/>
      <c r="H3" s="1693"/>
      <c r="I3" s="1693"/>
      <c r="J3" s="1693"/>
      <c r="K3" s="1693"/>
      <c r="L3" s="1693"/>
      <c r="M3" s="1693"/>
      <c r="N3" s="1693"/>
      <c r="O3" s="1693"/>
      <c r="P3" s="1693"/>
      <c r="Q3" s="1693"/>
      <c r="R3" s="1693"/>
      <c r="S3" s="1693"/>
      <c r="T3" s="1693"/>
    </row>
    <row r="4" spans="1:24" ht="16.5" x14ac:dyDescent="0.25">
      <c r="A4" s="1694" t="s">
        <v>1</v>
      </c>
      <c r="B4" s="1694"/>
      <c r="C4" s="1694"/>
      <c r="D4" s="1694"/>
      <c r="E4" s="1694"/>
      <c r="F4" s="1694"/>
      <c r="G4" s="1694"/>
      <c r="H4" s="1694"/>
      <c r="I4" s="1694"/>
      <c r="J4" s="1694"/>
      <c r="K4" s="1694"/>
      <c r="L4" s="1694"/>
      <c r="M4" s="1694"/>
      <c r="N4" s="1694"/>
      <c r="O4" s="1694"/>
      <c r="P4" s="1694"/>
      <c r="Q4" s="1694"/>
      <c r="R4" s="1694"/>
      <c r="S4" s="1694"/>
      <c r="T4" s="1694"/>
    </row>
    <row r="6" spans="1:24" x14ac:dyDescent="0.25">
      <c r="C6" t="s">
        <v>291</v>
      </c>
      <c r="D6" s="382">
        <v>46388</v>
      </c>
      <c r="E6" t="s">
        <v>566</v>
      </c>
      <c r="G6" s="21"/>
      <c r="H6" s="21"/>
      <c r="I6" s="559">
        <f>(G8*H7)/G7</f>
        <v>0.36083333333333334</v>
      </c>
      <c r="J6" s="21">
        <v>4.33</v>
      </c>
      <c r="K6" s="21"/>
      <c r="L6" s="21"/>
      <c r="M6" s="21"/>
      <c r="N6" s="21"/>
      <c r="O6" s="21"/>
      <c r="P6" s="21"/>
      <c r="Q6" s="21"/>
      <c r="R6" s="21"/>
      <c r="S6" s="21"/>
    </row>
    <row r="7" spans="1:24" ht="18" x14ac:dyDescent="0.25">
      <c r="A7" s="244"/>
      <c r="G7" s="21">
        <v>12</v>
      </c>
      <c r="H7" s="21">
        <v>1</v>
      </c>
      <c r="I7" s="21"/>
      <c r="J7" s="560"/>
      <c r="K7" s="21"/>
      <c r="L7" s="21"/>
      <c r="M7" s="21"/>
      <c r="N7" s="21">
        <v>10705.41</v>
      </c>
      <c r="O7" s="21">
        <f>N7*75%</f>
        <v>8029.0574999999999</v>
      </c>
      <c r="P7" s="565">
        <f>O7/12</f>
        <v>669.08812499999999</v>
      </c>
      <c r="Q7" s="21"/>
      <c r="R7" s="21"/>
      <c r="S7" s="21"/>
    </row>
    <row r="8" spans="1:24" x14ac:dyDescent="0.25">
      <c r="G8" s="21">
        <v>4.33</v>
      </c>
      <c r="H8" s="806"/>
      <c r="I8" s="21"/>
      <c r="J8" s="21"/>
      <c r="K8" s="21"/>
      <c r="L8" s="21"/>
      <c r="M8" s="21"/>
      <c r="N8" s="561"/>
      <c r="O8" s="21"/>
      <c r="P8" s="21"/>
      <c r="Q8" s="21"/>
      <c r="R8" s="21"/>
      <c r="S8" s="21"/>
    </row>
    <row r="9" spans="1:24" x14ac:dyDescent="0.25">
      <c r="A9" s="217" t="s">
        <v>24</v>
      </c>
      <c r="B9" s="204">
        <v>225</v>
      </c>
      <c r="C9" s="9" t="s">
        <v>2</v>
      </c>
      <c r="D9" s="10"/>
      <c r="E9" s="10"/>
      <c r="F9" s="11"/>
      <c r="G9" s="21"/>
      <c r="H9" s="21">
        <v>1700</v>
      </c>
      <c r="I9" s="562">
        <v>57095.5</v>
      </c>
      <c r="J9" s="562"/>
      <c r="K9" s="563"/>
      <c r="L9" s="562"/>
      <c r="M9" s="562">
        <f>I9/12</f>
        <v>4757.958333333333</v>
      </c>
      <c r="N9" s="561"/>
      <c r="O9" s="21">
        <f>O7/12</f>
        <v>669.08812499999999</v>
      </c>
      <c r="P9" s="21"/>
      <c r="Q9" s="21"/>
      <c r="R9" s="21"/>
      <c r="S9" s="21"/>
      <c r="T9" s="1"/>
    </row>
    <row r="10" spans="1:24" ht="15.75" thickBot="1" x14ac:dyDescent="0.3">
      <c r="A10" s="218" t="s">
        <v>3</v>
      </c>
      <c r="B10" s="205">
        <v>1701</v>
      </c>
      <c r="C10" s="6" t="s">
        <v>4</v>
      </c>
      <c r="F10" s="12"/>
      <c r="G10" s="21"/>
      <c r="H10" s="562"/>
      <c r="I10" s="567"/>
      <c r="J10" s="21"/>
      <c r="K10" s="564"/>
      <c r="L10" s="565"/>
      <c r="M10" s="565">
        <f>1700/12</f>
        <v>141.66666666666666</v>
      </c>
      <c r="N10" s="561"/>
      <c r="O10" s="21"/>
      <c r="P10" s="21"/>
      <c r="Q10" s="21"/>
      <c r="R10" s="21"/>
      <c r="S10" s="21"/>
    </row>
    <row r="11" spans="1:24" ht="15.75" thickBot="1" x14ac:dyDescent="0.3">
      <c r="A11" s="219"/>
      <c r="B11" s="14"/>
      <c r="C11" s="13"/>
      <c r="D11" s="15"/>
      <c r="E11" s="15"/>
      <c r="F11" s="14"/>
      <c r="G11" s="21"/>
      <c r="H11" s="567"/>
      <c r="I11" s="562">
        <f>33.59*75%</f>
        <v>25.192500000000003</v>
      </c>
      <c r="J11" s="562"/>
      <c r="K11" s="563"/>
      <c r="L11" s="21"/>
      <c r="M11" s="880">
        <f>M9/M10</f>
        <v>33.585588235294118</v>
      </c>
      <c r="N11" s="561">
        <f>M11*75%</f>
        <v>25.189191176470587</v>
      </c>
      <c r="O11" s="21"/>
      <c r="P11" s="21"/>
      <c r="Q11" s="21"/>
      <c r="R11" s="21"/>
      <c r="S11" s="21"/>
    </row>
    <row r="12" spans="1:24" x14ac:dyDescent="0.25">
      <c r="A12" s="220" t="s">
        <v>25</v>
      </c>
      <c r="B12" s="16">
        <v>0.32200000000000001</v>
      </c>
      <c r="C12" s="6" t="s">
        <v>671</v>
      </c>
      <c r="F12" s="12"/>
      <c r="G12" s="21"/>
      <c r="H12" s="562">
        <f>(H9*I10)/I9</f>
        <v>0</v>
      </c>
      <c r="I12" s="562"/>
      <c r="J12" s="21"/>
      <c r="K12" s="562"/>
      <c r="L12" s="21"/>
      <c r="M12" s="21"/>
      <c r="N12" s="569"/>
      <c r="O12" s="21"/>
      <c r="P12" s="21"/>
      <c r="Q12" s="21"/>
      <c r="R12" s="21"/>
      <c r="S12" s="21"/>
      <c r="T12" s="1"/>
    </row>
    <row r="13" spans="1:24" x14ac:dyDescent="0.25">
      <c r="A13" s="217" t="s">
        <v>5</v>
      </c>
      <c r="B13" s="858">
        <v>0.11650000000000001</v>
      </c>
      <c r="C13" s="6" t="s">
        <v>420</v>
      </c>
      <c r="F13" s="12"/>
      <c r="G13" s="21"/>
      <c r="H13" s="21"/>
      <c r="I13" s="21"/>
      <c r="J13" s="21"/>
      <c r="K13" s="21"/>
      <c r="L13" s="21"/>
      <c r="M13" s="21"/>
      <c r="N13" s="561"/>
      <c r="O13" s="21"/>
      <c r="P13" s="21"/>
      <c r="Q13" s="21"/>
      <c r="R13" s="21"/>
      <c r="S13" s="21"/>
      <c r="T13" s="1"/>
    </row>
    <row r="14" spans="1:24" x14ac:dyDescent="0.25">
      <c r="A14" s="217" t="s">
        <v>6</v>
      </c>
      <c r="B14" s="858">
        <v>0.02</v>
      </c>
      <c r="C14" s="6" t="s">
        <v>7</v>
      </c>
      <c r="F14" s="12"/>
      <c r="G14" s="21"/>
      <c r="H14" s="21"/>
      <c r="I14" s="562">
        <f>F48*0.2</f>
        <v>340.20000000000005</v>
      </c>
      <c r="J14" s="21"/>
      <c r="K14" s="21"/>
      <c r="L14" s="21"/>
      <c r="M14" s="561"/>
      <c r="N14" s="21"/>
      <c r="O14" s="561"/>
      <c r="P14" s="561">
        <f>M39+M39</f>
        <v>80983.69806000001</v>
      </c>
      <c r="Q14" s="561"/>
      <c r="R14" s="21">
        <f>R15-T15</f>
        <v>182200.39112079737</v>
      </c>
      <c r="S14" s="806"/>
      <c r="T14" s="22"/>
    </row>
    <row r="15" spans="1:24" x14ac:dyDescent="0.25">
      <c r="A15" s="217" t="s">
        <v>678</v>
      </c>
      <c r="B15" s="877">
        <v>0.03</v>
      </c>
      <c r="C15" s="23" t="s">
        <v>673</v>
      </c>
      <c r="D15" s="24"/>
      <c r="E15" s="24"/>
      <c r="F15" s="25"/>
      <c r="G15" s="21"/>
      <c r="H15" s="21"/>
      <c r="I15" s="21"/>
      <c r="J15" s="21"/>
      <c r="K15" s="21"/>
      <c r="L15" s="21"/>
      <c r="M15" s="561"/>
      <c r="N15" s="565"/>
      <c r="O15" s="21"/>
      <c r="P15" s="561" t="e">
        <f>#REF!+44235.96</f>
        <v>#REF!</v>
      </c>
      <c r="Q15" s="561" t="e">
        <f>P15/2</f>
        <v>#REF!</v>
      </c>
      <c r="R15" s="21">
        <v>182200.39112079737</v>
      </c>
      <c r="S15" s="806"/>
      <c r="T15" s="21"/>
    </row>
    <row r="16" spans="1:24" x14ac:dyDescent="0.25">
      <c r="H16" s="846"/>
      <c r="I16" s="846"/>
      <c r="J16" s="846"/>
      <c r="K16" s="846"/>
      <c r="L16" s="846"/>
      <c r="M16" s="846"/>
      <c r="N16" s="846"/>
      <c r="O16" s="846"/>
      <c r="P16" s="847" t="e">
        <f>SUM(P14:P15)</f>
        <v>#REF!</v>
      </c>
      <c r="Q16" s="846"/>
      <c r="S16" s="660"/>
    </row>
    <row r="17" spans="1:29" ht="15.75" thickBot="1" x14ac:dyDescent="0.3">
      <c r="S17" s="660"/>
    </row>
    <row r="18" spans="1:29" ht="57.6" customHeight="1" thickBot="1" x14ac:dyDescent="0.3">
      <c r="A18" s="221" t="s">
        <v>10</v>
      </c>
      <c r="B18" s="26" t="s">
        <v>27</v>
      </c>
      <c r="C18" s="27" t="s">
        <v>11</v>
      </c>
      <c r="D18" s="27" t="s">
        <v>12</v>
      </c>
      <c r="E18" s="27" t="s">
        <v>13</v>
      </c>
      <c r="F18" s="26" t="s">
        <v>28</v>
      </c>
      <c r="G18" s="26" t="s">
        <v>29</v>
      </c>
      <c r="H18" s="26" t="s">
        <v>299</v>
      </c>
      <c r="I18" s="26" t="s">
        <v>242</v>
      </c>
      <c r="J18" s="26" t="s">
        <v>31</v>
      </c>
      <c r="K18" s="28" t="s">
        <v>32</v>
      </c>
      <c r="L18" s="27" t="s">
        <v>14</v>
      </c>
      <c r="M18" s="26" t="s">
        <v>421</v>
      </c>
      <c r="N18" s="26" t="s">
        <v>423</v>
      </c>
      <c r="O18" s="693" t="s">
        <v>422</v>
      </c>
      <c r="P18" s="695" t="s">
        <v>474</v>
      </c>
      <c r="Q18" s="695" t="s">
        <v>425</v>
      </c>
      <c r="R18" s="30" t="s">
        <v>35</v>
      </c>
      <c r="S18" s="650"/>
      <c r="T18" s="2"/>
      <c r="U18" s="947" t="s">
        <v>36</v>
      </c>
      <c r="V18" s="947" t="s">
        <v>37</v>
      </c>
      <c r="W18" s="947" t="s">
        <v>679</v>
      </c>
      <c r="X18" s="947" t="s">
        <v>680</v>
      </c>
      <c r="Y18" s="947" t="s">
        <v>681</v>
      </c>
      <c r="Z18" s="947" t="s">
        <v>682</v>
      </c>
      <c r="AA18" s="947" t="s">
        <v>667</v>
      </c>
      <c r="AB18" s="947" t="s">
        <v>664</v>
      </c>
      <c r="AC18" s="947" t="s">
        <v>660</v>
      </c>
    </row>
    <row r="19" spans="1:29" ht="30" customHeight="1" thickBot="1" x14ac:dyDescent="0.3">
      <c r="A19" s="222" t="s">
        <v>41</v>
      </c>
      <c r="B19" s="34"/>
      <c r="C19" s="34"/>
      <c r="D19" s="34"/>
      <c r="E19" s="35"/>
      <c r="F19" s="34"/>
      <c r="G19" s="34"/>
      <c r="H19" s="34"/>
      <c r="I19" s="34"/>
      <c r="J19" s="34"/>
      <c r="K19" s="34"/>
      <c r="L19" s="34"/>
      <c r="M19" s="34"/>
      <c r="N19" s="34"/>
      <c r="O19" s="692"/>
      <c r="P19" s="692"/>
      <c r="Q19" s="692"/>
      <c r="R19" s="35" t="s">
        <v>42</v>
      </c>
      <c r="S19" s="651"/>
      <c r="T19" s="2"/>
      <c r="U19" s="7"/>
      <c r="V19" s="7"/>
      <c r="W19" s="7"/>
      <c r="X19" s="7"/>
      <c r="Y19" s="7"/>
      <c r="Z19" s="365"/>
      <c r="AA19" s="7"/>
      <c r="AB19" s="7"/>
      <c r="AC19" s="7"/>
    </row>
    <row r="20" spans="1:29" s="2" customFormat="1" ht="30" customHeight="1" thickBot="1" x14ac:dyDescent="0.3">
      <c r="A20" s="1521" t="s">
        <v>621</v>
      </c>
      <c r="B20" s="1522"/>
      <c r="C20" s="1522"/>
      <c r="D20" s="1522"/>
      <c r="E20" s="1523"/>
      <c r="F20" s="1524"/>
      <c r="G20" s="1525">
        <f>G21+G28+G34+G39</f>
        <v>6</v>
      </c>
      <c r="H20" s="1522"/>
      <c r="I20" s="1522"/>
      <c r="J20" s="1522"/>
      <c r="K20" s="1522"/>
      <c r="L20" s="1522"/>
      <c r="M20" s="1522"/>
      <c r="N20" s="1522"/>
      <c r="O20" s="1526"/>
      <c r="P20" s="1527">
        <f>P21+P28+P38+P45</f>
        <v>252030.87965450101</v>
      </c>
      <c r="Q20" s="1527">
        <f t="shared" ref="Q20:R20" si="0">Q21+Q28+Q38+Q45</f>
        <v>81153.943248749332</v>
      </c>
      <c r="R20" s="1527">
        <f t="shared" si="0"/>
        <v>333184.82290325034</v>
      </c>
      <c r="S20" s="651"/>
      <c r="U20" s="4"/>
      <c r="V20" s="4"/>
      <c r="W20" s="4"/>
      <c r="X20" s="4"/>
      <c r="Y20" s="4"/>
      <c r="Z20" s="1369"/>
      <c r="AA20" s="4"/>
      <c r="AB20" s="4"/>
      <c r="AC20" s="4"/>
    </row>
    <row r="21" spans="1:29" ht="21.75" customHeight="1" thickBot="1" x14ac:dyDescent="0.3">
      <c r="A21" s="1084" t="s">
        <v>66</v>
      </c>
      <c r="B21" s="1085"/>
      <c r="C21" s="1086"/>
      <c r="D21" s="1085"/>
      <c r="E21" s="1087"/>
      <c r="F21" s="1198">
        <v>1701</v>
      </c>
      <c r="G21" s="1240">
        <v>1</v>
      </c>
      <c r="H21" s="1088"/>
      <c r="I21" s="1088"/>
      <c r="J21" s="1089"/>
      <c r="K21" s="1090"/>
      <c r="L21" s="1197" t="s">
        <v>628</v>
      </c>
      <c r="M21" s="1091"/>
      <c r="N21" s="1092"/>
      <c r="O21" s="1093"/>
      <c r="P21" s="1528">
        <f>SUM(P22:P27)</f>
        <v>51531</v>
      </c>
      <c r="Q21" s="1528">
        <f>SUM(Q22:Q27)</f>
        <v>16592.982</v>
      </c>
      <c r="R21" s="1094">
        <f>SUM(R22:R27)</f>
        <v>68123.981999999989</v>
      </c>
      <c r="S21" s="652"/>
      <c r="T21" s="2"/>
      <c r="U21" s="1529">
        <f t="shared" ref="U21:U26" si="1">R22</f>
        <v>50807.103999999999</v>
      </c>
      <c r="V21" s="7"/>
      <c r="W21" s="7"/>
      <c r="X21" s="7"/>
      <c r="Y21" s="7"/>
      <c r="Z21" s="365"/>
      <c r="AA21" s="7"/>
      <c r="AB21" s="7"/>
      <c r="AC21" s="7"/>
    </row>
    <row r="22" spans="1:29" ht="21.75" customHeight="1" x14ac:dyDescent="0.25">
      <c r="A22" s="223" t="s">
        <v>294</v>
      </c>
      <c r="B22" s="38"/>
      <c r="C22" s="39" t="s">
        <v>571</v>
      </c>
      <c r="D22" s="38">
        <f>F22/225</f>
        <v>7.56</v>
      </c>
      <c r="E22" s="40">
        <v>37.799999999999997</v>
      </c>
      <c r="F22" s="1194">
        <v>1701</v>
      </c>
      <c r="G22" s="1241">
        <v>1</v>
      </c>
      <c r="H22" s="41">
        <v>38432</v>
      </c>
      <c r="I22" s="41"/>
      <c r="J22" s="42"/>
      <c r="K22" s="43"/>
      <c r="L22" s="268">
        <f>H22</f>
        <v>38432</v>
      </c>
      <c r="M22" s="667">
        <f>L25+L24+L23+L22</f>
        <v>48626.32</v>
      </c>
      <c r="N22" s="668" t="e">
        <f>IF(#REF!&gt;M22,#REF!,M22)</f>
        <v>#REF!</v>
      </c>
      <c r="O22" s="684"/>
      <c r="P22" s="1064">
        <f>L22</f>
        <v>38432</v>
      </c>
      <c r="Q22" s="1065">
        <f>P22*$B$12</f>
        <v>12375.104000000001</v>
      </c>
      <c r="R22" s="1069">
        <f>P22+Q22</f>
        <v>50807.103999999999</v>
      </c>
      <c r="S22" s="492"/>
      <c r="T22" s="20"/>
      <c r="U22" s="160">
        <f t="shared" si="1"/>
        <v>2540.3552</v>
      </c>
      <c r="V22" s="7"/>
      <c r="W22" s="7"/>
      <c r="X22" s="7"/>
      <c r="Y22" s="7"/>
      <c r="Z22" s="365"/>
      <c r="AA22" s="7"/>
      <c r="AB22" s="7"/>
      <c r="AC22" s="7"/>
    </row>
    <row r="23" spans="1:29" ht="21" customHeight="1" x14ac:dyDescent="0.25">
      <c r="A23" s="1208" t="s">
        <v>293</v>
      </c>
      <c r="B23" s="38"/>
      <c r="C23" s="39" t="s">
        <v>16</v>
      </c>
      <c r="D23" s="38"/>
      <c r="E23" s="40"/>
      <c r="F23" s="38">
        <f>F22/2</f>
        <v>850.5</v>
      </c>
      <c r="G23" s="1241">
        <v>1</v>
      </c>
      <c r="H23" s="415">
        <f>(H22/1701)*10%</f>
        <v>2.259376837154615</v>
      </c>
      <c r="I23" s="428">
        <v>0.5</v>
      </c>
      <c r="J23" s="42"/>
      <c r="K23" s="43"/>
      <c r="L23" s="268">
        <f>H23*F23</f>
        <v>1921.6000000000001</v>
      </c>
      <c r="M23" s="673"/>
      <c r="N23" s="676"/>
      <c r="O23" s="44"/>
      <c r="P23" s="1066">
        <f t="shared" ref="P23:P26" si="2">L23</f>
        <v>1921.6000000000001</v>
      </c>
      <c r="Q23" s="1065">
        <f t="shared" ref="Q23:Q27" si="3">P23*$B$12</f>
        <v>618.75520000000006</v>
      </c>
      <c r="R23" s="1069">
        <f t="shared" ref="R23:R27" si="4">P23+Q23</f>
        <v>2540.3552</v>
      </c>
      <c r="S23" s="492"/>
      <c r="U23" s="160">
        <f t="shared" si="1"/>
        <v>6350.8879999999999</v>
      </c>
      <c r="V23" s="7"/>
      <c r="W23" s="7"/>
      <c r="X23" s="7"/>
      <c r="Y23" s="7"/>
      <c r="Z23" s="365"/>
      <c r="AA23" s="7"/>
      <c r="AB23" s="7"/>
      <c r="AC23" s="7"/>
    </row>
    <row r="24" spans="1:29" ht="15.95" customHeight="1" x14ac:dyDescent="0.25">
      <c r="A24" s="1208" t="s">
        <v>292</v>
      </c>
      <c r="B24" s="38"/>
      <c r="C24" s="39"/>
      <c r="D24" s="38">
        <f>D21*0.25</f>
        <v>0</v>
      </c>
      <c r="E24" s="40">
        <f>E21*0.25</f>
        <v>0</v>
      </c>
      <c r="F24" s="38">
        <f>F22*I24</f>
        <v>850.5</v>
      </c>
      <c r="G24" s="1241">
        <v>1</v>
      </c>
      <c r="H24" s="415">
        <f>(H22/1701)*25%</f>
        <v>5.6484420928865378</v>
      </c>
      <c r="I24" s="428">
        <v>0.5</v>
      </c>
      <c r="J24" s="42"/>
      <c r="K24" s="43"/>
      <c r="L24" s="268">
        <f>F24*H24</f>
        <v>4804</v>
      </c>
      <c r="M24" s="673"/>
      <c r="N24" s="676"/>
      <c r="O24" s="44"/>
      <c r="P24" s="1066">
        <f t="shared" si="2"/>
        <v>4804</v>
      </c>
      <c r="Q24" s="1065">
        <f t="shared" si="3"/>
        <v>1546.8880000000001</v>
      </c>
      <c r="R24" s="1069">
        <f t="shared" si="4"/>
        <v>6350.8879999999999</v>
      </c>
      <c r="S24" s="492"/>
      <c r="T24" s="20"/>
      <c r="U24" s="160">
        <f t="shared" si="1"/>
        <v>4585.6478400000005</v>
      </c>
      <c r="V24" s="7"/>
      <c r="W24" s="7"/>
      <c r="X24" s="7"/>
      <c r="Y24" s="7"/>
      <c r="Z24" s="365"/>
      <c r="AA24" s="7"/>
      <c r="AB24" s="7"/>
      <c r="AC24" s="7"/>
    </row>
    <row r="25" spans="1:29" ht="15.95" customHeight="1" x14ac:dyDescent="0.25">
      <c r="A25" s="1208" t="s">
        <v>318</v>
      </c>
      <c r="B25" s="38"/>
      <c r="C25" s="39"/>
      <c r="D25" s="38"/>
      <c r="E25" s="40"/>
      <c r="F25" s="38">
        <v>12</v>
      </c>
      <c r="G25" s="1241">
        <v>1</v>
      </c>
      <c r="H25" s="415">
        <v>289.06</v>
      </c>
      <c r="I25" s="428"/>
      <c r="J25" s="42"/>
      <c r="K25" s="43"/>
      <c r="L25" s="268">
        <f>F25*H25</f>
        <v>3468.7200000000003</v>
      </c>
      <c r="M25" s="673"/>
      <c r="N25" s="676"/>
      <c r="O25" s="44"/>
      <c r="P25" s="1066">
        <f t="shared" si="2"/>
        <v>3468.7200000000003</v>
      </c>
      <c r="Q25" s="1065">
        <f t="shared" si="3"/>
        <v>1116.9278400000001</v>
      </c>
      <c r="R25" s="1069">
        <f t="shared" si="4"/>
        <v>4585.6478400000005</v>
      </c>
      <c r="S25" s="492"/>
      <c r="T25" s="20"/>
      <c r="U25" s="160">
        <f t="shared" si="1"/>
        <v>1204.8707999999999</v>
      </c>
      <c r="V25" s="7"/>
      <c r="W25" s="7"/>
      <c r="X25" s="7"/>
      <c r="Y25" s="7"/>
      <c r="Z25" s="365"/>
      <c r="AA25" s="7"/>
      <c r="AB25" s="7"/>
      <c r="AC25" s="7"/>
    </row>
    <row r="26" spans="1:29" ht="15.95" customHeight="1" x14ac:dyDescent="0.25">
      <c r="A26" s="1530" t="s">
        <v>570</v>
      </c>
      <c r="B26" s="1050"/>
      <c r="C26" s="1051"/>
      <c r="D26" s="1050"/>
      <c r="E26" s="1052"/>
      <c r="F26" s="1050">
        <v>911.4</v>
      </c>
      <c r="G26" s="1242">
        <v>1</v>
      </c>
      <c r="H26" s="1531"/>
      <c r="I26" s="1054"/>
      <c r="J26" s="1532"/>
      <c r="K26" s="1055"/>
      <c r="L26" s="1533">
        <f>F26*G26</f>
        <v>911.4</v>
      </c>
      <c r="M26" s="1070"/>
      <c r="N26" s="1071"/>
      <c r="O26" s="448"/>
      <c r="P26" s="1072">
        <f t="shared" si="2"/>
        <v>911.4</v>
      </c>
      <c r="Q26" s="1073">
        <f t="shared" si="3"/>
        <v>293.4708</v>
      </c>
      <c r="R26" s="1069">
        <f t="shared" si="4"/>
        <v>1204.8707999999999</v>
      </c>
      <c r="S26" s="492"/>
      <c r="T26" s="20"/>
      <c r="U26" s="160">
        <f t="shared" si="1"/>
        <v>2635.1161599999991</v>
      </c>
      <c r="V26" s="7"/>
      <c r="W26" s="7"/>
      <c r="X26" s="7"/>
      <c r="Y26" s="7"/>
      <c r="Z26" s="365"/>
      <c r="AA26" s="7"/>
      <c r="AB26" s="7"/>
      <c r="AC26" s="7"/>
    </row>
    <row r="27" spans="1:29" ht="15.95" customHeight="1" thickBot="1" x14ac:dyDescent="0.3">
      <c r="A27" s="1534" t="s">
        <v>632</v>
      </c>
      <c r="B27" s="1535"/>
      <c r="C27" s="1536"/>
      <c r="D27" s="1535"/>
      <c r="E27" s="1537"/>
      <c r="F27" s="1535"/>
      <c r="G27" s="1538"/>
      <c r="H27" s="1539"/>
      <c r="I27" s="1540"/>
      <c r="J27" s="1541"/>
      <c r="K27" s="1542"/>
      <c r="L27" s="1543">
        <f>51531-L22-L23-L24-L25-L26</f>
        <v>1993.2799999999993</v>
      </c>
      <c r="M27" s="1543"/>
      <c r="N27" s="1544"/>
      <c r="O27" s="1545"/>
      <c r="P27" s="1546">
        <f>L27</f>
        <v>1993.2799999999993</v>
      </c>
      <c r="Q27" s="1547">
        <f t="shared" si="3"/>
        <v>641.83615999999984</v>
      </c>
      <c r="R27" s="1548">
        <f t="shared" si="4"/>
        <v>2635.1161599999991</v>
      </c>
      <c r="S27" s="492"/>
      <c r="T27" s="20" t="s">
        <v>683</v>
      </c>
      <c r="U27" s="1549">
        <f>SUM(U21:U26)</f>
        <v>68123.981999999989</v>
      </c>
      <c r="V27" s="7"/>
      <c r="W27" s="7"/>
      <c r="X27" s="7"/>
      <c r="Y27" s="7"/>
      <c r="Z27" s="365"/>
      <c r="AA27" s="7"/>
      <c r="AB27" s="7"/>
      <c r="AC27" s="7"/>
    </row>
    <row r="28" spans="1:29" ht="20.25" customHeight="1" thickBot="1" x14ac:dyDescent="0.3">
      <c r="A28" s="1084" t="s">
        <v>684</v>
      </c>
      <c r="B28" s="1085"/>
      <c r="C28" s="1086"/>
      <c r="D28" s="1085"/>
      <c r="E28" s="1087"/>
      <c r="F28" s="1198">
        <f>F29+F34</f>
        <v>3402</v>
      </c>
      <c r="G28" s="1240">
        <v>1</v>
      </c>
      <c r="H28" s="1088"/>
      <c r="I28" s="1088"/>
      <c r="J28" s="1089"/>
      <c r="K28" s="1090"/>
      <c r="L28" s="1091"/>
      <c r="M28" s="1091"/>
      <c r="N28" s="1092"/>
      <c r="O28" s="1093"/>
      <c r="P28" s="1528">
        <f>SUM(P29:P37)</f>
        <v>65000.890000000007</v>
      </c>
      <c r="Q28" s="1528">
        <f>SUM(Q29:Q37)</f>
        <v>20930.286579999996</v>
      </c>
      <c r="R28" s="1094">
        <f>SUM(R29:R37)</f>
        <v>85931.176579999999</v>
      </c>
      <c r="S28" s="492"/>
      <c r="T28" s="20"/>
      <c r="U28" s="1362">
        <f t="shared" ref="U28:U36" si="5">R29</f>
        <v>34382.126519999998</v>
      </c>
      <c r="V28" s="7"/>
      <c r="W28" s="7"/>
      <c r="X28" s="7"/>
      <c r="Y28" s="7"/>
      <c r="Z28" s="365"/>
      <c r="AA28" s="7"/>
      <c r="AB28" s="7"/>
      <c r="AC28" s="7"/>
    </row>
    <row r="29" spans="1:29" ht="15.95" customHeight="1" x14ac:dyDescent="0.25">
      <c r="A29" s="1058" t="s">
        <v>685</v>
      </c>
      <c r="B29" s="1075"/>
      <c r="C29" s="1076"/>
      <c r="D29" s="1075"/>
      <c r="E29" s="1077"/>
      <c r="F29" s="1075">
        <v>1701</v>
      </c>
      <c r="G29" s="1243">
        <f>F29/$B$10</f>
        <v>1</v>
      </c>
      <c r="H29" s="1078">
        <v>26007.66</v>
      </c>
      <c r="I29" s="1079"/>
      <c r="J29" s="1080"/>
      <c r="K29" s="1056"/>
      <c r="L29" s="410">
        <f>H29</f>
        <v>26007.66</v>
      </c>
      <c r="M29" s="410"/>
      <c r="N29" s="412"/>
      <c r="O29" s="1081"/>
      <c r="P29" s="1082">
        <f>G29*L29</f>
        <v>26007.66</v>
      </c>
      <c r="Q29" s="1083">
        <f>P29*$B$12</f>
        <v>8374.4665199999999</v>
      </c>
      <c r="R29" s="1069">
        <f>P29+Q29</f>
        <v>34382.126519999998</v>
      </c>
      <c r="S29" s="492"/>
      <c r="T29" s="660"/>
      <c r="U29" s="160">
        <f t="shared" si="5"/>
        <v>1204.8707999999999</v>
      </c>
      <c r="V29" s="7"/>
      <c r="W29" s="7"/>
      <c r="X29" s="7"/>
      <c r="Y29" s="7"/>
      <c r="Z29" s="365"/>
      <c r="AA29" s="7"/>
      <c r="AB29" s="7"/>
      <c r="AC29" s="7"/>
    </row>
    <row r="30" spans="1:29" ht="15.95" customHeight="1" x14ac:dyDescent="0.25">
      <c r="A30" s="1209" t="s">
        <v>570</v>
      </c>
      <c r="B30" s="736"/>
      <c r="C30" s="737"/>
      <c r="D30" s="736"/>
      <c r="E30" s="738"/>
      <c r="F30" s="736">
        <f>F26</f>
        <v>911.4</v>
      </c>
      <c r="G30" s="118">
        <f>$G$29</f>
        <v>1</v>
      </c>
      <c r="H30" s="739"/>
      <c r="I30" s="1062"/>
      <c r="J30" s="741"/>
      <c r="K30" s="742"/>
      <c r="L30" s="410">
        <f>F30</f>
        <v>911.4</v>
      </c>
      <c r="M30" s="410"/>
      <c r="N30" s="1063"/>
      <c r="O30" s="744"/>
      <c r="P30" s="1067">
        <f>G30*L30</f>
        <v>911.4</v>
      </c>
      <c r="Q30" s="1083">
        <f t="shared" ref="Q30:Q37" si="6">P30*$B$12</f>
        <v>293.4708</v>
      </c>
      <c r="R30" s="1069">
        <f t="shared" ref="R30:R37" si="7">P30+Q30</f>
        <v>1204.8707999999999</v>
      </c>
      <c r="S30" s="492"/>
      <c r="T30" s="660"/>
      <c r="U30" s="160">
        <f t="shared" si="5"/>
        <v>493.62818999999973</v>
      </c>
      <c r="V30" s="7"/>
      <c r="W30" s="7"/>
      <c r="X30" s="7"/>
      <c r="Y30" s="7"/>
      <c r="Z30" s="365"/>
      <c r="AA30" s="7"/>
      <c r="AB30" s="7"/>
      <c r="AC30" s="7"/>
    </row>
    <row r="31" spans="1:29" ht="15.95" customHeight="1" x14ac:dyDescent="0.25">
      <c r="A31" s="1209" t="s">
        <v>572</v>
      </c>
      <c r="B31" s="736"/>
      <c r="C31" s="737"/>
      <c r="D31" s="736"/>
      <c r="E31" s="738"/>
      <c r="F31" s="736">
        <v>373.39499999999981</v>
      </c>
      <c r="G31" s="118">
        <f>$G$29</f>
        <v>1</v>
      </c>
      <c r="H31" s="739"/>
      <c r="I31" s="1062"/>
      <c r="J31" s="741"/>
      <c r="K31" s="742"/>
      <c r="L31" s="614">
        <f>F31</f>
        <v>373.39499999999981</v>
      </c>
      <c r="M31" s="614"/>
      <c r="N31" s="1063"/>
      <c r="O31" s="744"/>
      <c r="P31" s="1067">
        <f>G31*L31</f>
        <v>373.39499999999981</v>
      </c>
      <c r="Q31" s="1083">
        <f t="shared" si="6"/>
        <v>120.23318999999994</v>
      </c>
      <c r="R31" s="1069">
        <f t="shared" si="7"/>
        <v>493.62818999999973</v>
      </c>
      <c r="S31" s="492"/>
      <c r="T31" s="660"/>
      <c r="U31" s="160">
        <f t="shared" si="5"/>
        <v>4584.6959999999999</v>
      </c>
      <c r="V31" s="7"/>
      <c r="W31" s="7"/>
      <c r="X31" s="7"/>
      <c r="Y31" s="7"/>
      <c r="Z31" s="365"/>
      <c r="AA31" s="7"/>
      <c r="AB31" s="7"/>
      <c r="AC31" s="7"/>
    </row>
    <row r="32" spans="1:29" ht="15.95" customHeight="1" x14ac:dyDescent="0.25">
      <c r="A32" s="1209" t="s">
        <v>318</v>
      </c>
      <c r="B32" s="736"/>
      <c r="C32" s="737"/>
      <c r="D32" s="736"/>
      <c r="E32" s="738"/>
      <c r="F32" s="736">
        <v>289</v>
      </c>
      <c r="G32" s="118">
        <v>12</v>
      </c>
      <c r="H32" s="739"/>
      <c r="I32" s="1062"/>
      <c r="J32" s="741"/>
      <c r="K32" s="742"/>
      <c r="L32" s="614">
        <f>F32*G32</f>
        <v>3468</v>
      </c>
      <c r="M32" s="614"/>
      <c r="N32" s="1063"/>
      <c r="O32" s="744"/>
      <c r="P32" s="1067">
        <f>L32</f>
        <v>3468</v>
      </c>
      <c r="Q32" s="1083">
        <f t="shared" si="6"/>
        <v>1116.6960000000001</v>
      </c>
      <c r="R32" s="1069">
        <f t="shared" si="7"/>
        <v>4584.6959999999999</v>
      </c>
      <c r="S32" s="492"/>
      <c r="T32" s="660"/>
      <c r="U32" s="160">
        <f t="shared" si="5"/>
        <v>3492.1224900000016</v>
      </c>
      <c r="V32" s="7"/>
      <c r="W32" s="7"/>
      <c r="X32" s="7"/>
      <c r="Y32" s="7"/>
      <c r="Z32" s="365"/>
      <c r="AA32" s="7"/>
      <c r="AB32" s="7"/>
      <c r="AC32" s="7"/>
    </row>
    <row r="33" spans="1:31" ht="15.95" customHeight="1" x14ac:dyDescent="0.25">
      <c r="A33" s="1550" t="s">
        <v>631</v>
      </c>
      <c r="B33" s="1551"/>
      <c r="C33" s="1552"/>
      <c r="D33" s="1551"/>
      <c r="E33" s="1553"/>
      <c r="F33" s="1551"/>
      <c r="G33" s="1554"/>
      <c r="H33" s="1554"/>
      <c r="I33" s="1555"/>
      <c r="J33" s="1556"/>
      <c r="K33" s="1557"/>
      <c r="L33" s="1558">
        <f>33402-L29-L30-L31-L32</f>
        <v>2641.545000000001</v>
      </c>
      <c r="M33" s="1558"/>
      <c r="N33" s="1559"/>
      <c r="O33" s="1560"/>
      <c r="P33" s="1561">
        <f>L33</f>
        <v>2641.545000000001</v>
      </c>
      <c r="Q33" s="1562">
        <f t="shared" si="6"/>
        <v>850.57749000000035</v>
      </c>
      <c r="R33" s="1563">
        <f t="shared" si="7"/>
        <v>3492.1224900000016</v>
      </c>
      <c r="S33" s="492"/>
      <c r="T33" s="660"/>
      <c r="U33" s="160">
        <f t="shared" si="5"/>
        <v>34382.126519999998</v>
      </c>
      <c r="V33" s="7"/>
      <c r="W33" s="7"/>
      <c r="X33" s="7"/>
      <c r="Y33" s="7"/>
      <c r="Z33" s="365"/>
      <c r="AA33" s="7"/>
      <c r="AB33" s="7"/>
      <c r="AC33" s="7"/>
    </row>
    <row r="34" spans="1:31" ht="15.95" customHeight="1" x14ac:dyDescent="0.25">
      <c r="A34" s="1564" t="s">
        <v>686</v>
      </c>
      <c r="B34" s="736"/>
      <c r="C34" s="737"/>
      <c r="D34" s="736"/>
      <c r="E34" s="738"/>
      <c r="F34" s="736">
        <v>1701</v>
      </c>
      <c r="G34" s="739">
        <v>1</v>
      </c>
      <c r="H34" s="739">
        <v>26007.66</v>
      </c>
      <c r="I34" s="1062"/>
      <c r="J34" s="741"/>
      <c r="K34" s="742"/>
      <c r="L34" s="614">
        <f>H34</f>
        <v>26007.66</v>
      </c>
      <c r="M34" s="614"/>
      <c r="N34" s="1063"/>
      <c r="O34" s="744"/>
      <c r="P34" s="1067">
        <f>G34*L34</f>
        <v>26007.66</v>
      </c>
      <c r="Q34" s="1083">
        <f t="shared" si="6"/>
        <v>8374.4665199999999</v>
      </c>
      <c r="R34" s="1069">
        <f t="shared" si="7"/>
        <v>34382.126519999998</v>
      </c>
      <c r="S34" s="492"/>
      <c r="T34" s="660"/>
      <c r="U34" s="160">
        <f t="shared" si="5"/>
        <v>4584.6959999999999</v>
      </c>
      <c r="V34" s="7"/>
      <c r="W34" s="7"/>
      <c r="X34" s="7"/>
      <c r="Y34" s="7"/>
      <c r="Z34" s="365"/>
      <c r="AA34" s="7"/>
      <c r="AB34" s="7"/>
      <c r="AC34" s="7"/>
    </row>
    <row r="35" spans="1:31" ht="15.95" customHeight="1" x14ac:dyDescent="0.25">
      <c r="A35" s="1209" t="s">
        <v>318</v>
      </c>
      <c r="B35" s="736"/>
      <c r="C35" s="737"/>
      <c r="D35" s="736"/>
      <c r="E35" s="738"/>
      <c r="F35" s="736">
        <v>289</v>
      </c>
      <c r="G35" s="118">
        <v>12</v>
      </c>
      <c r="H35" s="739"/>
      <c r="I35" s="1062"/>
      <c r="J35" s="741"/>
      <c r="K35" s="742"/>
      <c r="L35" s="614">
        <f>F35*G35</f>
        <v>3468</v>
      </c>
      <c r="M35" s="614"/>
      <c r="N35" s="1063"/>
      <c r="O35" s="744"/>
      <c r="P35" s="1067">
        <f>L35</f>
        <v>3468</v>
      </c>
      <c r="Q35" s="1083">
        <f t="shared" si="6"/>
        <v>1116.6960000000001</v>
      </c>
      <c r="R35" s="1069">
        <f t="shared" si="7"/>
        <v>4584.6959999999999</v>
      </c>
      <c r="S35" s="492"/>
      <c r="T35" s="660"/>
      <c r="U35" s="160">
        <f t="shared" si="5"/>
        <v>1204.8707999999999</v>
      </c>
      <c r="V35" s="7"/>
      <c r="W35" s="7"/>
      <c r="X35" s="7"/>
      <c r="Y35" s="7"/>
      <c r="Z35" s="365"/>
      <c r="AA35" s="7"/>
      <c r="AB35" s="7"/>
      <c r="AC35" s="7"/>
    </row>
    <row r="36" spans="1:31" x14ac:dyDescent="0.25">
      <c r="A36" s="216" t="s">
        <v>570</v>
      </c>
      <c r="B36" s="736"/>
      <c r="C36" s="737"/>
      <c r="D36" s="736"/>
      <c r="E36" s="738"/>
      <c r="F36" s="736">
        <v>911</v>
      </c>
      <c r="G36" s="739">
        <v>1</v>
      </c>
      <c r="H36" s="739"/>
      <c r="I36" s="1062"/>
      <c r="J36" s="741"/>
      <c r="K36" s="742"/>
      <c r="L36">
        <v>911.4</v>
      </c>
      <c r="M36" s="614"/>
      <c r="N36" s="1063"/>
      <c r="O36" s="744"/>
      <c r="P36" s="1067">
        <f>L36</f>
        <v>911.4</v>
      </c>
      <c r="Q36" s="1083">
        <f t="shared" si="6"/>
        <v>293.4708</v>
      </c>
      <c r="R36" s="1069">
        <f t="shared" si="7"/>
        <v>1204.8707999999999</v>
      </c>
      <c r="S36" s="653"/>
      <c r="T36" s="624"/>
      <c r="U36" s="1362">
        <f t="shared" si="5"/>
        <v>1602.03926</v>
      </c>
      <c r="V36" s="7"/>
      <c r="W36" s="7"/>
      <c r="X36" s="7"/>
      <c r="Y36" s="7"/>
      <c r="Z36" s="365"/>
      <c r="AA36" s="7"/>
      <c r="AB36" s="7"/>
      <c r="AC36" s="7"/>
    </row>
    <row r="37" spans="1:31" x14ac:dyDescent="0.25">
      <c r="A37" s="1550" t="s">
        <v>631</v>
      </c>
      <c r="B37" s="1551"/>
      <c r="C37" s="1552"/>
      <c r="D37" s="1551"/>
      <c r="E37" s="1553"/>
      <c r="F37" s="1551"/>
      <c r="G37" s="1554"/>
      <c r="H37" s="1554"/>
      <c r="I37" s="1555"/>
      <c r="J37" s="1556"/>
      <c r="K37" s="1557"/>
      <c r="L37" s="1558">
        <f>33951.26-L34-L35-L36</f>
        <v>3564.2000000000021</v>
      </c>
      <c r="M37" s="1558"/>
      <c r="N37" s="1559"/>
      <c r="O37" s="1560"/>
      <c r="P37" s="1561">
        <v>1211.83</v>
      </c>
      <c r="Q37" s="1562">
        <f t="shared" si="6"/>
        <v>390.20925999999997</v>
      </c>
      <c r="R37" s="1563">
        <f t="shared" si="7"/>
        <v>1602.03926</v>
      </c>
      <c r="S37" s="492"/>
      <c r="T37" s="624" t="s">
        <v>683</v>
      </c>
      <c r="U37" s="1549">
        <f>SUM(U28:U36)</f>
        <v>85931.176579999999</v>
      </c>
      <c r="V37" s="7"/>
      <c r="W37" s="7"/>
      <c r="X37" s="7"/>
      <c r="Y37" s="7"/>
      <c r="Z37" s="365"/>
      <c r="AA37" s="7"/>
      <c r="AB37" s="7"/>
      <c r="AC37" s="7"/>
    </row>
    <row r="38" spans="1:31" ht="15.95" customHeight="1" thickBot="1" x14ac:dyDescent="0.3">
      <c r="A38" s="1327" t="s">
        <v>622</v>
      </c>
      <c r="B38" s="1328"/>
      <c r="C38" s="1329"/>
      <c r="D38" s="1328"/>
      <c r="E38" s="1330"/>
      <c r="F38" s="1331">
        <v>5103</v>
      </c>
      <c r="G38" s="1332"/>
      <c r="H38" s="1333"/>
      <c r="I38" s="1565"/>
      <c r="J38" s="1566"/>
      <c r="K38" s="1567"/>
      <c r="L38" s="1568"/>
      <c r="M38" s="1568">
        <f t="shared" ref="M38:O38" si="8">SUM(M39:M43)</f>
        <v>40491.849030000005</v>
      </c>
      <c r="N38" s="1568" t="e">
        <f t="shared" si="8"/>
        <v>#REF!</v>
      </c>
      <c r="O38" s="1568" t="e">
        <f t="shared" si="8"/>
        <v>#REF!</v>
      </c>
      <c r="P38" s="1211">
        <f>SUM(P39:P44)</f>
        <v>135498.989654501</v>
      </c>
      <c r="Q38" s="1569">
        <f>SUM(Q39:Q44)</f>
        <v>43630.674668749329</v>
      </c>
      <c r="R38" s="1216">
        <f>SUM(R39:R44)</f>
        <v>179129.66432325033</v>
      </c>
      <c r="S38" s="492"/>
      <c r="U38" s="1570"/>
      <c r="V38" s="7"/>
      <c r="W38" s="7"/>
      <c r="X38" s="7"/>
      <c r="Y38" s="7"/>
      <c r="Z38" s="365"/>
      <c r="AA38" s="7"/>
      <c r="AB38" s="7"/>
      <c r="AC38" s="7"/>
    </row>
    <row r="39" spans="1:31" ht="15.95" customHeight="1" x14ac:dyDescent="0.25">
      <c r="A39" s="1058" t="s">
        <v>580</v>
      </c>
      <c r="B39" s="1059"/>
      <c r="C39" s="53" t="s">
        <v>575</v>
      </c>
      <c r="D39" s="1059"/>
      <c r="E39" s="1061"/>
      <c r="F39" s="1103">
        <v>1701</v>
      </c>
      <c r="G39" s="1244">
        <f>F38/F39</f>
        <v>3</v>
      </c>
      <c r="H39" s="484">
        <v>33951.26</v>
      </c>
      <c r="I39" s="1104"/>
      <c r="J39" s="1105"/>
      <c r="K39" s="1057"/>
      <c r="L39" s="1106">
        <f>H39</f>
        <v>33951.26</v>
      </c>
      <c r="M39" s="1095">
        <f>L39+L40+L41+L42</f>
        <v>40491.849030000005</v>
      </c>
      <c r="N39" s="412" t="e">
        <f>IF(#REF!&gt;M39,#REF!,M39)</f>
        <v>#REF!</v>
      </c>
      <c r="O39" s="1096" t="e">
        <f>(N39-M39)/N39</f>
        <v>#REF!</v>
      </c>
      <c r="P39" s="1064">
        <f>L39*G39</f>
        <v>101853.78</v>
      </c>
      <c r="Q39" s="1065">
        <f>$B$12*P39</f>
        <v>32796.917159999997</v>
      </c>
      <c r="R39" s="1069">
        <f>P39+Q39</f>
        <v>134650.69715999998</v>
      </c>
      <c r="S39" s="492"/>
      <c r="U39" s="160">
        <f t="shared" ref="U39:U44" si="9">R39</f>
        <v>134650.69715999998</v>
      </c>
      <c r="V39" s="7"/>
      <c r="W39" s="7"/>
      <c r="X39" s="7"/>
      <c r="Y39" s="7"/>
      <c r="Z39" s="365"/>
      <c r="AA39" s="7"/>
      <c r="AB39" s="7"/>
      <c r="AC39" s="7"/>
    </row>
    <row r="40" spans="1:31" ht="15.95" customHeight="1" x14ac:dyDescent="0.25">
      <c r="A40" s="1210" t="s">
        <v>293</v>
      </c>
      <c r="B40" s="52"/>
      <c r="C40" s="53" t="s">
        <v>16</v>
      </c>
      <c r="D40" s="52"/>
      <c r="E40" s="54"/>
      <c r="F40" s="52">
        <f>1701*I40</f>
        <v>476.28000000000003</v>
      </c>
      <c r="G40" s="1245">
        <v>3</v>
      </c>
      <c r="H40" s="416">
        <f>(H39/1701)*10%</f>
        <v>1.9959588477366257</v>
      </c>
      <c r="I40" s="430">
        <v>0.28000000000000003</v>
      </c>
      <c r="J40" s="56"/>
      <c r="K40" s="328"/>
      <c r="L40" s="1097">
        <f>F40*H40</f>
        <v>950.63528000000019</v>
      </c>
      <c r="M40" s="1098"/>
      <c r="N40" s="676"/>
      <c r="O40" s="1066"/>
      <c r="P40" s="1064">
        <f>L40*G40</f>
        <v>2851.9058400000004</v>
      </c>
      <c r="Q40" s="1065">
        <f t="shared" ref="Q40:Q69" si="10">$B$12*P40</f>
        <v>918.31368048000013</v>
      </c>
      <c r="R40" s="1069">
        <f t="shared" ref="R40:R45" si="11">P40+Q40</f>
        <v>3770.2195204800005</v>
      </c>
      <c r="S40" s="492"/>
      <c r="U40" s="160">
        <f t="shared" si="9"/>
        <v>3770.2195204800005</v>
      </c>
      <c r="V40" s="7"/>
      <c r="W40" s="7"/>
      <c r="X40" s="7"/>
      <c r="Y40" s="7"/>
      <c r="Z40" s="365"/>
      <c r="AA40" s="7"/>
      <c r="AB40" s="7"/>
      <c r="AC40" s="7"/>
    </row>
    <row r="41" spans="1:31" ht="15.95" customHeight="1" x14ac:dyDescent="0.25">
      <c r="A41" s="1210" t="s">
        <v>282</v>
      </c>
      <c r="B41" s="52"/>
      <c r="C41" s="53"/>
      <c r="D41" s="52"/>
      <c r="E41" s="54"/>
      <c r="F41" s="52">
        <f>1701*I41</f>
        <v>425.25</v>
      </c>
      <c r="G41" s="1245">
        <v>3</v>
      </c>
      <c r="H41" s="419">
        <f>(H39/1701)*25%</f>
        <v>4.9898971193415642</v>
      </c>
      <c r="I41" s="430">
        <v>0.25</v>
      </c>
      <c r="J41" s="56"/>
      <c r="K41" s="328"/>
      <c r="L41" s="1097">
        <f>F41*H41</f>
        <v>2121.9537500000001</v>
      </c>
      <c r="M41" s="1098"/>
      <c r="N41" s="676"/>
      <c r="O41" s="1066"/>
      <c r="P41" s="1064">
        <f>L41*H41</f>
        <v>10588.33090450103</v>
      </c>
      <c r="Q41" s="1065">
        <f t="shared" si="10"/>
        <v>3409.4425512493317</v>
      </c>
      <c r="R41" s="1069">
        <f t="shared" si="11"/>
        <v>13997.773455750361</v>
      </c>
      <c r="S41" s="492"/>
      <c r="U41" s="160">
        <f t="shared" si="9"/>
        <v>13997.773455750361</v>
      </c>
      <c r="V41" s="7"/>
      <c r="W41" s="7"/>
      <c r="X41" s="7"/>
      <c r="Y41" s="7"/>
      <c r="Z41" s="365"/>
      <c r="AA41" s="7"/>
      <c r="AB41" s="7"/>
      <c r="AC41" s="7"/>
    </row>
    <row r="42" spans="1:31" x14ac:dyDescent="0.25">
      <c r="A42" s="1210" t="s">
        <v>573</v>
      </c>
      <c r="B42" s="52"/>
      <c r="C42" s="53"/>
      <c r="D42" s="52"/>
      <c r="E42" s="54"/>
      <c r="F42" s="52">
        <v>12</v>
      </c>
      <c r="G42" s="1245">
        <v>3</v>
      </c>
      <c r="H42" s="419">
        <v>289</v>
      </c>
      <c r="I42" s="430"/>
      <c r="J42" s="56"/>
      <c r="K42" s="328"/>
      <c r="L42" s="1097">
        <f>F42*H42</f>
        <v>3468</v>
      </c>
      <c r="M42" s="1098"/>
      <c r="N42" s="676"/>
      <c r="O42" s="1066"/>
      <c r="P42" s="1064">
        <f>L42*G43</f>
        <v>10404</v>
      </c>
      <c r="Q42" s="1065">
        <f t="shared" si="10"/>
        <v>3350.0880000000002</v>
      </c>
      <c r="R42" s="1069">
        <f t="shared" si="11"/>
        <v>13754.088</v>
      </c>
      <c r="S42" s="492"/>
      <c r="T42" s="624"/>
      <c r="U42" s="1529">
        <f t="shared" si="9"/>
        <v>13754.088</v>
      </c>
      <c r="V42" s="7"/>
      <c r="W42" s="7"/>
      <c r="X42" s="7"/>
      <c r="Y42" s="7"/>
      <c r="Z42" s="365"/>
      <c r="AA42" s="7"/>
      <c r="AB42" s="7"/>
      <c r="AC42" s="7"/>
    </row>
    <row r="43" spans="1:31" s="2" customFormat="1" x14ac:dyDescent="0.25">
      <c r="A43" s="1210" t="s">
        <v>570</v>
      </c>
      <c r="B43" s="52"/>
      <c r="C43" s="53"/>
      <c r="D43" s="52"/>
      <c r="E43" s="54"/>
      <c r="F43" s="52">
        <v>911</v>
      </c>
      <c r="G43" s="1245">
        <v>3</v>
      </c>
      <c r="H43" s="419"/>
      <c r="I43" s="430"/>
      <c r="J43" s="56"/>
      <c r="K43" s="328"/>
      <c r="L43" s="1217">
        <f>F43</f>
        <v>911</v>
      </c>
      <c r="M43" s="1218"/>
      <c r="N43" s="1219"/>
      <c r="O43" s="1169"/>
      <c r="P43" s="1220">
        <f>G43*L43</f>
        <v>2733</v>
      </c>
      <c r="Q43" s="1192">
        <f t="shared" si="10"/>
        <v>880.02600000000007</v>
      </c>
      <c r="R43" s="1069">
        <f t="shared" si="11"/>
        <v>3613.0259999999998</v>
      </c>
      <c r="S43" s="492"/>
      <c r="T43" s="1101"/>
      <c r="U43" s="1362">
        <f t="shared" si="9"/>
        <v>3613.0259999999998</v>
      </c>
      <c r="V43" s="4"/>
      <c r="W43" s="4"/>
      <c r="X43" s="4"/>
      <c r="Y43" s="4"/>
      <c r="Z43" s="1369"/>
      <c r="AA43" s="4"/>
      <c r="AB43" s="4"/>
      <c r="AC43" s="4"/>
    </row>
    <row r="44" spans="1:31" s="2" customFormat="1" x14ac:dyDescent="0.25">
      <c r="A44" s="1534" t="s">
        <v>632</v>
      </c>
      <c r="B44" s="1535"/>
      <c r="C44" s="1536"/>
      <c r="D44" s="1535"/>
      <c r="E44" s="1537"/>
      <c r="F44" s="1535"/>
      <c r="G44" s="1571"/>
      <c r="H44" s="1539"/>
      <c r="I44" s="1540"/>
      <c r="J44" s="1572"/>
      <c r="K44" s="1542"/>
      <c r="L44" s="1573">
        <f>43758.84-L39-L40-L41-L42-L43</f>
        <v>2355.9909699999935</v>
      </c>
      <c r="M44" s="1574"/>
      <c r="N44" s="1559"/>
      <c r="O44" s="1575"/>
      <c r="P44" s="1576">
        <f>L44*3</f>
        <v>7067.9729099999804</v>
      </c>
      <c r="Q44" s="1577">
        <f>P44*B12</f>
        <v>2275.8872770199937</v>
      </c>
      <c r="R44" s="1563">
        <f t="shared" si="11"/>
        <v>9343.8601870199745</v>
      </c>
      <c r="S44" s="492"/>
      <c r="T44" s="1101"/>
      <c r="U44" s="1362">
        <f t="shared" si="9"/>
        <v>9343.8601870199745</v>
      </c>
      <c r="V44" s="4"/>
      <c r="W44" s="4"/>
      <c r="X44" s="4"/>
      <c r="Y44" s="4"/>
      <c r="Z44" s="1369"/>
      <c r="AA44" s="4"/>
      <c r="AB44" s="4"/>
      <c r="AC44" s="4"/>
    </row>
    <row r="45" spans="1:31" ht="15.95" customHeight="1" thickBot="1" x14ac:dyDescent="0.3">
      <c r="A45" s="1210" t="s">
        <v>633</v>
      </c>
      <c r="B45" s="52"/>
      <c r="C45" s="53"/>
      <c r="D45" s="52"/>
      <c r="E45" s="54"/>
      <c r="F45" s="52"/>
      <c r="G45" s="432"/>
      <c r="H45" s="419"/>
      <c r="I45" s="430"/>
      <c r="J45" s="56"/>
      <c r="K45" s="328"/>
      <c r="L45" s="1116"/>
      <c r="M45" s="1102"/>
      <c r="N45" s="1071"/>
      <c r="O45" s="1072"/>
      <c r="P45" s="1188"/>
      <c r="Q45" s="1073">
        <f t="shared" ref="Q45" si="12">$B$12*P45</f>
        <v>0</v>
      </c>
      <c r="R45" s="1069">
        <f t="shared" si="11"/>
        <v>0</v>
      </c>
      <c r="S45" s="492"/>
      <c r="T45" s="20"/>
      <c r="U45" s="160"/>
      <c r="V45" s="7"/>
      <c r="W45" s="7"/>
      <c r="X45" s="7"/>
      <c r="Y45" s="7"/>
      <c r="Z45" s="365"/>
      <c r="AA45" s="7"/>
      <c r="AB45" s="7"/>
      <c r="AC45" s="7"/>
      <c r="AE45" s="20"/>
    </row>
    <row r="46" spans="1:31" ht="15.95" customHeight="1" thickBot="1" x14ac:dyDescent="0.3">
      <c r="A46" s="1578" t="s">
        <v>687</v>
      </c>
      <c r="B46" s="1579"/>
      <c r="C46" s="1580"/>
      <c r="D46" s="1579"/>
      <c r="E46" s="1581"/>
      <c r="F46" s="1579">
        <f>F47+F58</f>
        <v>30618</v>
      </c>
      <c r="G46" s="1582">
        <f>F46/1701</f>
        <v>18</v>
      </c>
      <c r="H46" s="1583"/>
      <c r="I46" s="1584"/>
      <c r="J46" s="1585"/>
      <c r="K46" s="1586"/>
      <c r="L46" s="1587"/>
      <c r="M46" s="1587"/>
      <c r="N46" s="1588"/>
      <c r="O46" s="1589"/>
      <c r="P46" s="1590">
        <f>P47+P58</f>
        <v>673519.7923284166</v>
      </c>
      <c r="Q46" s="1590">
        <f>Q47+Q58</f>
        <v>216873.37312975017</v>
      </c>
      <c r="R46" s="1591">
        <f>R47+R58</f>
        <v>890393.16545816674</v>
      </c>
      <c r="S46" s="492"/>
      <c r="U46" s="160"/>
      <c r="V46" s="7"/>
      <c r="W46" s="7"/>
      <c r="X46" s="7"/>
      <c r="Y46" s="7"/>
      <c r="Z46" s="365"/>
      <c r="AA46" s="7"/>
      <c r="AB46" s="7"/>
      <c r="AC46" s="7"/>
    </row>
    <row r="47" spans="1:31" ht="15.95" customHeight="1" thickBot="1" x14ac:dyDescent="0.3">
      <c r="A47" s="1592" t="s">
        <v>688</v>
      </c>
      <c r="B47" s="1107"/>
      <c r="C47" s="1108"/>
      <c r="D47" s="1107"/>
      <c r="E47" s="1109"/>
      <c r="F47" s="1199">
        <v>20412</v>
      </c>
      <c r="G47" s="1593">
        <v>12</v>
      </c>
      <c r="H47" s="1121"/>
      <c r="I47" s="1122"/>
      <c r="J47" s="1111"/>
      <c r="K47" s="1112"/>
      <c r="L47" s="1123"/>
      <c r="M47" s="1123"/>
      <c r="N47" s="1113"/>
      <c r="O47" s="1124"/>
      <c r="P47" s="1191">
        <f>SUM(P48:P57)</f>
        <v>473936.1136499999</v>
      </c>
      <c r="Q47" s="1594">
        <f>SUM(Q48:Q57)</f>
        <v>152607.42859530001</v>
      </c>
      <c r="R47" s="1162">
        <f>SUM(R48:R57)</f>
        <v>626543.5422452999</v>
      </c>
      <c r="S47" s="653"/>
      <c r="T47" t="s">
        <v>683</v>
      </c>
      <c r="U47" s="1549">
        <f>SUM(U39:U46)</f>
        <v>179129.66432325033</v>
      </c>
      <c r="V47" s="7"/>
      <c r="W47" s="7"/>
      <c r="X47" s="7"/>
      <c r="Y47" s="7"/>
      <c r="Z47" s="365"/>
      <c r="AA47" s="7"/>
      <c r="AB47" s="7"/>
      <c r="AC47" s="7"/>
    </row>
    <row r="48" spans="1:31" ht="15.95" customHeight="1" x14ac:dyDescent="0.25">
      <c r="A48" s="1117" t="s">
        <v>576</v>
      </c>
      <c r="B48" s="1050"/>
      <c r="C48" s="1164" t="s">
        <v>323</v>
      </c>
      <c r="D48" s="1050"/>
      <c r="E48" s="1052"/>
      <c r="F48" s="1140">
        <v>1701</v>
      </c>
      <c r="G48" s="1242">
        <f>F47/F48</f>
        <v>12</v>
      </c>
      <c r="H48" s="1053">
        <v>26007.66</v>
      </c>
      <c r="I48" s="1054"/>
      <c r="J48" s="1119"/>
      <c r="K48" s="1055"/>
      <c r="L48" s="1120">
        <f>H48</f>
        <v>26007.66</v>
      </c>
      <c r="M48" s="1095">
        <f>L48+L49+L50+L51</f>
        <v>31491.97365</v>
      </c>
      <c r="N48" s="271" t="e">
        <f>IF(#REF!&gt;M48,#REF!,M48)</f>
        <v>#REF!</v>
      </c>
      <c r="O48" s="1066"/>
      <c r="P48" s="1066">
        <f>G48*L48</f>
        <v>312091.92</v>
      </c>
      <c r="Q48" s="1065">
        <f t="shared" si="10"/>
        <v>100493.59823999999</v>
      </c>
      <c r="R48" s="1069">
        <f>P48+Q48</f>
        <v>412585.51824</v>
      </c>
      <c r="S48" s="492"/>
      <c r="U48" s="1362">
        <f t="shared" ref="U48:U57" si="13">R48</f>
        <v>412585.51824</v>
      </c>
      <c r="V48" s="7"/>
      <c r="W48" s="7"/>
      <c r="X48" s="7"/>
      <c r="Y48" s="7"/>
      <c r="Z48" s="365"/>
      <c r="AA48" s="7"/>
      <c r="AB48" s="7"/>
      <c r="AC48" s="7"/>
    </row>
    <row r="49" spans="1:31" ht="15.95" customHeight="1" x14ac:dyDescent="0.25">
      <c r="A49" s="1210" t="s">
        <v>293</v>
      </c>
      <c r="B49" s="52"/>
      <c r="C49" s="53"/>
      <c r="D49" s="52"/>
      <c r="E49" s="1167">
        <f>1701/1</f>
        <v>1701</v>
      </c>
      <c r="F49" s="52">
        <f>F48*I49</f>
        <v>340.20000000000005</v>
      </c>
      <c r="G49" s="55">
        <v>12</v>
      </c>
      <c r="H49" s="419">
        <f>(H48/1701)*10%</f>
        <v>1.5289629629629631</v>
      </c>
      <c r="I49" s="430">
        <v>0.2</v>
      </c>
      <c r="J49" s="56"/>
      <c r="K49" s="328"/>
      <c r="L49" s="269">
        <f>F49*H49</f>
        <v>520.15320000000008</v>
      </c>
      <c r="M49" s="673"/>
      <c r="N49" s="676"/>
      <c r="O49" s="44"/>
      <c r="P49" s="1066">
        <f>L49*G49</f>
        <v>6241.8384000000005</v>
      </c>
      <c r="Q49" s="1065">
        <f t="shared" si="10"/>
        <v>2009.8719648000003</v>
      </c>
      <c r="R49" s="1069">
        <f t="shared" ref="R49:R57" si="14">P49+Q49</f>
        <v>8251.7103648000011</v>
      </c>
      <c r="S49" s="492"/>
      <c r="U49" s="160">
        <f t="shared" si="13"/>
        <v>8251.7103648000011</v>
      </c>
      <c r="V49" s="7"/>
      <c r="W49" s="7"/>
      <c r="X49" s="7"/>
      <c r="Y49" s="7"/>
      <c r="Z49" s="365"/>
      <c r="AA49" s="7"/>
      <c r="AB49" s="7"/>
      <c r="AC49" s="7"/>
    </row>
    <row r="50" spans="1:31" ht="15.95" customHeight="1" x14ac:dyDescent="0.25">
      <c r="A50" s="1334" t="s">
        <v>587</v>
      </c>
      <c r="B50" s="52"/>
      <c r="C50" s="53"/>
      <c r="D50" s="52"/>
      <c r="E50" s="1168"/>
      <c r="F50" s="52">
        <f>1701*I50</f>
        <v>391.23</v>
      </c>
      <c r="G50" s="55">
        <v>12</v>
      </c>
      <c r="H50" s="419">
        <f>(H48/1701)*25%</f>
        <v>3.8224074074074075</v>
      </c>
      <c r="I50" s="430">
        <v>0.23</v>
      </c>
      <c r="J50" s="56"/>
      <c r="K50" s="328"/>
      <c r="L50" s="269">
        <f>F50*H50</f>
        <v>1495.4404500000001</v>
      </c>
      <c r="M50" s="673"/>
      <c r="N50" s="676"/>
      <c r="O50" s="44"/>
      <c r="P50" s="1066">
        <f>L50*G50</f>
        <v>17945.285400000001</v>
      </c>
      <c r="Q50" s="1065">
        <f t="shared" si="10"/>
        <v>5778.3818988000003</v>
      </c>
      <c r="R50" s="1069">
        <f t="shared" si="14"/>
        <v>23723.667298799999</v>
      </c>
      <c r="S50" s="492"/>
      <c r="U50" s="160">
        <f t="shared" si="13"/>
        <v>23723.667298799999</v>
      </c>
      <c r="V50" s="7"/>
      <c r="W50" s="7"/>
      <c r="X50" s="7"/>
      <c r="Y50" s="7"/>
      <c r="Z50" s="365"/>
      <c r="AA50" s="7"/>
      <c r="AB50" s="7"/>
      <c r="AC50" s="7"/>
      <c r="AE50" s="20"/>
    </row>
    <row r="51" spans="1:31" ht="15.95" customHeight="1" x14ac:dyDescent="0.25">
      <c r="A51" s="1189" t="s">
        <v>296</v>
      </c>
      <c r="B51" s="52"/>
      <c r="C51" s="48"/>
      <c r="D51" s="52"/>
      <c r="E51" s="54"/>
      <c r="F51" s="52">
        <v>12</v>
      </c>
      <c r="G51" s="55">
        <f>G48</f>
        <v>12</v>
      </c>
      <c r="H51" s="419">
        <v>289.06</v>
      </c>
      <c r="I51" s="430"/>
      <c r="J51" s="56"/>
      <c r="K51" s="328"/>
      <c r="L51" s="269">
        <f>F51*H51</f>
        <v>3468.7200000000003</v>
      </c>
      <c r="M51" s="673"/>
      <c r="N51" s="676"/>
      <c r="O51" s="44"/>
      <c r="P51" s="1066">
        <f>L51*G51</f>
        <v>41624.639999999999</v>
      </c>
      <c r="Q51" s="1065">
        <f t="shared" si="10"/>
        <v>13403.13408</v>
      </c>
      <c r="R51" s="1069">
        <f t="shared" si="14"/>
        <v>55027.774080000003</v>
      </c>
      <c r="S51" s="492"/>
      <c r="U51" s="160">
        <f t="shared" si="13"/>
        <v>55027.774080000003</v>
      </c>
      <c r="V51" s="7"/>
      <c r="W51" s="7"/>
      <c r="X51" s="7"/>
      <c r="Y51" s="7"/>
      <c r="Z51" s="365"/>
      <c r="AA51" s="7"/>
      <c r="AB51" s="7"/>
      <c r="AC51" s="7"/>
    </row>
    <row r="52" spans="1:31" ht="15.95" customHeight="1" x14ac:dyDescent="0.25">
      <c r="A52" s="1189" t="s">
        <v>570</v>
      </c>
      <c r="B52" s="52"/>
      <c r="C52" s="48"/>
      <c r="D52" s="52"/>
      <c r="E52" s="54"/>
      <c r="F52" s="52">
        <v>911</v>
      </c>
      <c r="G52" s="55">
        <v>12</v>
      </c>
      <c r="H52" s="419"/>
      <c r="I52" s="430"/>
      <c r="J52" s="56"/>
      <c r="K52" s="328"/>
      <c r="L52" s="1223">
        <f>F52</f>
        <v>911</v>
      </c>
      <c r="M52" s="673"/>
      <c r="N52" s="676"/>
      <c r="O52" s="44"/>
      <c r="P52" s="1066">
        <f>L52*G52</f>
        <v>10932</v>
      </c>
      <c r="Q52" s="1065">
        <f>P52*B12</f>
        <v>3520.1040000000003</v>
      </c>
      <c r="R52" s="1069">
        <f t="shared" si="14"/>
        <v>14452.103999999999</v>
      </c>
      <c r="S52" s="492"/>
      <c r="U52" s="160">
        <f t="shared" si="13"/>
        <v>14452.103999999999</v>
      </c>
      <c r="V52" s="7"/>
      <c r="W52" s="7"/>
      <c r="X52" s="7"/>
      <c r="Y52" s="7"/>
      <c r="Z52" s="365"/>
      <c r="AA52" s="7"/>
      <c r="AB52" s="7"/>
      <c r="AC52" s="7"/>
    </row>
    <row r="53" spans="1:31" ht="15.95" customHeight="1" x14ac:dyDescent="0.25">
      <c r="A53" s="1595" t="s">
        <v>632</v>
      </c>
      <c r="B53" s="1596"/>
      <c r="C53" s="1552"/>
      <c r="D53" s="1596"/>
      <c r="E53" s="1597"/>
      <c r="F53" s="1596"/>
      <c r="G53" s="1598"/>
      <c r="H53" s="1599"/>
      <c r="I53" s="1600"/>
      <c r="J53" s="1601"/>
      <c r="K53" s="1602"/>
      <c r="L53" s="1603">
        <f>37179.96-L48-L49-L50-L51-L52</f>
        <v>4776.9863499999983</v>
      </c>
      <c r="M53" s="1604"/>
      <c r="N53" s="1605"/>
      <c r="O53" s="1606"/>
      <c r="P53" s="1607">
        <f>L53*12</f>
        <v>57323.836199999976</v>
      </c>
      <c r="Q53" s="1608">
        <f>P53*B12</f>
        <v>18458.275256399993</v>
      </c>
      <c r="R53" s="1563">
        <f t="shared" si="14"/>
        <v>75782.111456399973</v>
      </c>
      <c r="S53" s="492"/>
      <c r="U53" s="160">
        <f t="shared" si="13"/>
        <v>75782.111456399973</v>
      </c>
      <c r="V53" s="7"/>
      <c r="W53" s="7"/>
      <c r="X53" s="7"/>
      <c r="Y53" s="7"/>
      <c r="Z53" s="365"/>
      <c r="AA53" s="7"/>
      <c r="AB53" s="7"/>
      <c r="AC53" s="7"/>
    </row>
    <row r="54" spans="1:31" ht="15.95" customHeight="1" x14ac:dyDescent="0.25">
      <c r="A54" s="1189" t="s">
        <v>322</v>
      </c>
      <c r="B54" s="441"/>
      <c r="C54" s="1166" t="s">
        <v>16</v>
      </c>
      <c r="D54" s="52"/>
      <c r="E54" s="54"/>
      <c r="F54" s="52">
        <f>1701/12</f>
        <v>141.75</v>
      </c>
      <c r="G54" s="55">
        <v>12</v>
      </c>
      <c r="H54" s="419">
        <f>H48/14</f>
        <v>1857.69</v>
      </c>
      <c r="I54" s="430"/>
      <c r="J54" s="56"/>
      <c r="K54" s="328"/>
      <c r="L54" s="269">
        <f>L48/14</f>
        <v>1857.69</v>
      </c>
      <c r="M54" s="673"/>
      <c r="N54" s="271">
        <f>L54</f>
        <v>1857.69</v>
      </c>
      <c r="O54" s="44"/>
      <c r="P54" s="1066">
        <f>L54*G54</f>
        <v>22292.28</v>
      </c>
      <c r="Q54" s="1065">
        <f t="shared" si="10"/>
        <v>7178.1141600000001</v>
      </c>
      <c r="R54" s="1069">
        <f t="shared" si="14"/>
        <v>29470.39416</v>
      </c>
      <c r="S54" s="492"/>
      <c r="U54" s="160">
        <f t="shared" si="13"/>
        <v>29470.39416</v>
      </c>
      <c r="V54" s="7"/>
      <c r="W54" s="7"/>
      <c r="X54" s="7"/>
      <c r="Y54" s="7"/>
      <c r="Z54" s="365"/>
      <c r="AA54" s="7"/>
      <c r="AB54" s="7"/>
      <c r="AC54" s="7"/>
    </row>
    <row r="55" spans="1:31" ht="15.95" customHeight="1" x14ac:dyDescent="0.25">
      <c r="A55" s="1189" t="s">
        <v>588</v>
      </c>
      <c r="B55" s="441"/>
      <c r="C55" s="1166" t="s">
        <v>16</v>
      </c>
      <c r="D55" s="52"/>
      <c r="E55" s="54"/>
      <c r="F55" s="52">
        <f>F54*I55</f>
        <v>32.602499999999999</v>
      </c>
      <c r="G55" s="55">
        <v>12</v>
      </c>
      <c r="H55" s="419">
        <f>(H48/1701)*25%</f>
        <v>3.8224074074074075</v>
      </c>
      <c r="I55" s="430">
        <v>0.23</v>
      </c>
      <c r="J55" s="56"/>
      <c r="K55" s="328"/>
      <c r="L55" s="269">
        <f>F55*H55</f>
        <v>124.6200375</v>
      </c>
      <c r="M55" s="673"/>
      <c r="N55" s="271">
        <f>H55*F55</f>
        <v>124.6200375</v>
      </c>
      <c r="O55" s="44"/>
      <c r="P55" s="1066">
        <f>L55*G55</f>
        <v>1495.4404500000001</v>
      </c>
      <c r="Q55" s="1065">
        <f t="shared" si="10"/>
        <v>481.5318249</v>
      </c>
      <c r="R55" s="1069">
        <f t="shared" si="14"/>
        <v>1976.9722749</v>
      </c>
      <c r="S55" s="492"/>
      <c r="U55" s="1529">
        <f t="shared" si="13"/>
        <v>1976.9722749</v>
      </c>
      <c r="V55" s="7"/>
      <c r="W55" s="7"/>
      <c r="X55" s="7"/>
      <c r="Y55" s="7"/>
      <c r="Z55" s="365"/>
      <c r="AA55" s="7"/>
      <c r="AB55" s="7"/>
      <c r="AC55" s="7"/>
    </row>
    <row r="56" spans="1:31" x14ac:dyDescent="0.25">
      <c r="A56" s="1189" t="s">
        <v>320</v>
      </c>
      <c r="B56" s="441"/>
      <c r="C56" s="1166" t="s">
        <v>16</v>
      </c>
      <c r="D56" s="52"/>
      <c r="E56" s="54"/>
      <c r="F56" s="52">
        <v>1</v>
      </c>
      <c r="G56" s="55">
        <v>12</v>
      </c>
      <c r="H56" s="419">
        <v>289.06</v>
      </c>
      <c r="I56" s="430"/>
      <c r="J56" s="56"/>
      <c r="K56" s="328"/>
      <c r="L56" s="269">
        <f>H56</f>
        <v>289.06</v>
      </c>
      <c r="M56" s="673"/>
      <c r="N56" s="271">
        <f>G56*H56</f>
        <v>3468.7200000000003</v>
      </c>
      <c r="O56" s="44"/>
      <c r="P56" s="1066">
        <f>L56*G56</f>
        <v>3468.7200000000003</v>
      </c>
      <c r="Q56" s="1065">
        <f t="shared" si="10"/>
        <v>1116.9278400000001</v>
      </c>
      <c r="R56" s="1069">
        <f t="shared" si="14"/>
        <v>4585.6478400000005</v>
      </c>
      <c r="S56" s="492"/>
      <c r="U56" s="160">
        <f t="shared" si="13"/>
        <v>4585.6478400000005</v>
      </c>
      <c r="V56" s="7"/>
      <c r="W56" s="7"/>
      <c r="X56" s="7"/>
      <c r="Y56" s="7"/>
      <c r="Z56" s="365"/>
      <c r="AA56" s="7"/>
      <c r="AB56" s="7"/>
      <c r="AC56" s="7"/>
      <c r="AE56" s="20"/>
    </row>
    <row r="57" spans="1:31" ht="15.75" thickBot="1" x14ac:dyDescent="0.3">
      <c r="A57" s="1189" t="s">
        <v>327</v>
      </c>
      <c r="B57" s="441"/>
      <c r="C57" s="1609" t="s">
        <v>16</v>
      </c>
      <c r="D57" s="52"/>
      <c r="E57" s="54"/>
      <c r="F57" s="52">
        <f>F54*I57</f>
        <v>28.35</v>
      </c>
      <c r="G57" s="55">
        <v>12</v>
      </c>
      <c r="H57" s="419">
        <f>H49</f>
        <v>1.5289629629629631</v>
      </c>
      <c r="I57" s="430">
        <v>0.2</v>
      </c>
      <c r="J57" s="56"/>
      <c r="K57" s="328"/>
      <c r="L57" s="270">
        <f>F57*H57</f>
        <v>43.346100000000007</v>
      </c>
      <c r="M57" s="1070"/>
      <c r="N57" s="447">
        <f>L57</f>
        <v>43.346100000000007</v>
      </c>
      <c r="O57" s="448"/>
      <c r="P57" s="1072">
        <f>L57*G57</f>
        <v>520.15320000000008</v>
      </c>
      <c r="Q57" s="1073">
        <f t="shared" si="10"/>
        <v>167.48933040000003</v>
      </c>
      <c r="R57" s="1069">
        <f t="shared" si="14"/>
        <v>687.64253040000017</v>
      </c>
      <c r="S57" s="492"/>
      <c r="U57" s="160">
        <f t="shared" si="13"/>
        <v>687.64253040000017</v>
      </c>
      <c r="V57" s="7"/>
      <c r="W57" s="7"/>
      <c r="X57" s="7"/>
      <c r="Y57" s="7"/>
      <c r="Z57" s="365"/>
      <c r="AA57" s="7"/>
      <c r="AB57" s="7"/>
      <c r="AC57" s="7"/>
    </row>
    <row r="58" spans="1:31" ht="15.75" thickBot="1" x14ac:dyDescent="0.3">
      <c r="A58" s="1139" t="s">
        <v>689</v>
      </c>
      <c r="B58" s="1142"/>
      <c r="C58" s="1108"/>
      <c r="D58" s="1107"/>
      <c r="E58" s="1109"/>
      <c r="F58" s="1199">
        <v>10206</v>
      </c>
      <c r="G58" s="1247">
        <v>6</v>
      </c>
      <c r="H58" s="1121"/>
      <c r="I58" s="1122"/>
      <c r="J58" s="1111"/>
      <c r="K58" s="1112"/>
      <c r="L58" s="1143"/>
      <c r="M58" s="1143"/>
      <c r="N58" s="1113"/>
      <c r="O58" s="1144"/>
      <c r="P58" s="1144">
        <f>SUM(P59:P66)</f>
        <v>199583.67867841668</v>
      </c>
      <c r="Q58" s="1144">
        <f>SUM(Q59:Q66)</f>
        <v>64265.944534450166</v>
      </c>
      <c r="R58" s="1162">
        <f>SUM(R59:R66)</f>
        <v>263849.62321286683</v>
      </c>
      <c r="S58" s="492"/>
      <c r="T58" t="s">
        <v>683</v>
      </c>
      <c r="U58" s="1549">
        <f>SUM(U48:U57)</f>
        <v>626543.5422452999</v>
      </c>
      <c r="V58" s="7"/>
      <c r="W58" s="7"/>
      <c r="X58" s="7"/>
      <c r="Y58" s="7"/>
      <c r="Z58" s="365"/>
      <c r="AA58" s="7"/>
      <c r="AB58" s="7"/>
      <c r="AC58" s="7"/>
    </row>
    <row r="59" spans="1:31" ht="15.75" x14ac:dyDescent="0.25">
      <c r="A59" s="1117" t="s">
        <v>689</v>
      </c>
      <c r="B59" s="1050"/>
      <c r="C59" s="1118"/>
      <c r="D59" s="1050"/>
      <c r="E59" s="1052"/>
      <c r="F59" s="1140">
        <v>1701</v>
      </c>
      <c r="G59" s="1242">
        <f>F58/F59</f>
        <v>6</v>
      </c>
      <c r="H59" s="1053">
        <v>26007.66</v>
      </c>
      <c r="I59" s="1141"/>
      <c r="J59" s="1119"/>
      <c r="K59" s="1055"/>
      <c r="L59" s="665">
        <f>H59</f>
        <v>26007.66</v>
      </c>
      <c r="M59" s="667">
        <f>L59+L60+L61+L62</f>
        <v>31491.97365</v>
      </c>
      <c r="N59" s="271" t="e">
        <f>IF(#REF!&gt;M59,#REF!,M59)</f>
        <v>#REF!</v>
      </c>
      <c r="O59" s="684" t="e">
        <f>(N59-M59)/N59</f>
        <v>#REF!</v>
      </c>
      <c r="P59" s="1066">
        <f>L59*G59</f>
        <v>156045.96</v>
      </c>
      <c r="Q59" s="1065">
        <f t="shared" si="10"/>
        <v>50246.799119999996</v>
      </c>
      <c r="R59" s="1069">
        <f>P59+Q59</f>
        <v>206292.75912</v>
      </c>
      <c r="S59" s="492"/>
      <c r="U59" s="160">
        <f t="shared" ref="U59:U66" si="15">R59</f>
        <v>206292.75912</v>
      </c>
      <c r="V59" s="7"/>
      <c r="W59" s="7"/>
      <c r="X59" s="7"/>
      <c r="Y59" s="7"/>
      <c r="Z59" s="365"/>
      <c r="AA59" s="7"/>
      <c r="AB59" s="7"/>
      <c r="AC59" s="7"/>
    </row>
    <row r="60" spans="1:31" ht="15.75" x14ac:dyDescent="0.25">
      <c r="A60" s="1210" t="s">
        <v>293</v>
      </c>
      <c r="B60" s="52"/>
      <c r="C60" s="53"/>
      <c r="D60" s="52"/>
      <c r="E60" s="1167">
        <f>(1701/12)*G60</f>
        <v>850.5</v>
      </c>
      <c r="F60" s="52">
        <f>1701*I60</f>
        <v>340.20000000000005</v>
      </c>
      <c r="G60" s="55">
        <v>6</v>
      </c>
      <c r="H60" s="419">
        <f>(H59/1701)*10%</f>
        <v>1.5289629629629631</v>
      </c>
      <c r="I60" s="430">
        <v>0.2</v>
      </c>
      <c r="J60" s="56"/>
      <c r="K60" s="328"/>
      <c r="L60" s="329">
        <f>F60*H60</f>
        <v>520.15320000000008</v>
      </c>
      <c r="M60" s="688"/>
      <c r="N60" s="688"/>
      <c r="O60" s="44"/>
      <c r="P60" s="1066">
        <f>L60*G60</f>
        <v>3120.9192000000003</v>
      </c>
      <c r="Q60" s="1065">
        <f t="shared" si="10"/>
        <v>1004.9359824000002</v>
      </c>
      <c r="R60" s="1069">
        <f t="shared" ref="R60:R66" si="16">P60+Q60</f>
        <v>4125.8551824000006</v>
      </c>
      <c r="S60" s="492"/>
      <c r="U60" s="160">
        <f t="shared" si="15"/>
        <v>4125.8551824000006</v>
      </c>
      <c r="V60" s="7"/>
      <c r="W60" s="7"/>
      <c r="X60" s="7"/>
      <c r="Y60" s="7"/>
      <c r="Z60" s="365"/>
      <c r="AA60" s="7"/>
      <c r="AB60" s="7"/>
      <c r="AC60" s="7"/>
    </row>
    <row r="61" spans="1:31" ht="15.75" x14ac:dyDescent="0.25">
      <c r="A61" s="1210" t="s">
        <v>587</v>
      </c>
      <c r="B61" s="52"/>
      <c r="C61" s="53"/>
      <c r="D61" s="52"/>
      <c r="E61" s="1167">
        <f>(1701/12)*6</f>
        <v>850.5</v>
      </c>
      <c r="F61" s="52">
        <f>1701*I61</f>
        <v>391.23</v>
      </c>
      <c r="G61" s="55">
        <v>6</v>
      </c>
      <c r="H61" s="58">
        <f>(H59/1701)*25%</f>
        <v>3.8224074074074075</v>
      </c>
      <c r="I61" s="430">
        <v>0.23</v>
      </c>
      <c r="J61" s="56"/>
      <c r="K61" s="328"/>
      <c r="L61" s="329">
        <f>F61*H61</f>
        <v>1495.4404500000001</v>
      </c>
      <c r="M61" s="688"/>
      <c r="N61" s="688"/>
      <c r="O61" s="44"/>
      <c r="P61" s="1066">
        <f>L61*H61</f>
        <v>5716.1826534166667</v>
      </c>
      <c r="Q61" s="1065">
        <f t="shared" si="10"/>
        <v>1840.6108144001666</v>
      </c>
      <c r="R61" s="1069">
        <f t="shared" si="16"/>
        <v>7556.7934678168331</v>
      </c>
      <c r="S61" s="492"/>
      <c r="U61" s="160">
        <f t="shared" si="15"/>
        <v>7556.7934678168331</v>
      </c>
      <c r="V61" s="7"/>
      <c r="W61" s="7"/>
      <c r="X61" s="7"/>
      <c r="Y61" s="7"/>
      <c r="Z61" s="365"/>
      <c r="AA61" s="7"/>
      <c r="AB61" s="7"/>
      <c r="AC61" s="7"/>
      <c r="AE61" s="20"/>
    </row>
    <row r="62" spans="1:31" ht="15.75" x14ac:dyDescent="0.25">
      <c r="A62" s="1210" t="s">
        <v>296</v>
      </c>
      <c r="B62" s="52"/>
      <c r="C62" s="53"/>
      <c r="D62" s="52"/>
      <c r="E62" s="54"/>
      <c r="F62" s="52">
        <v>12</v>
      </c>
      <c r="G62" s="55">
        <v>6</v>
      </c>
      <c r="H62" s="58">
        <v>289.06</v>
      </c>
      <c r="I62" s="430"/>
      <c r="J62" s="56"/>
      <c r="K62" s="328"/>
      <c r="L62" s="329">
        <f>F62*H62</f>
        <v>3468.7200000000003</v>
      </c>
      <c r="M62" s="688"/>
      <c r="N62" s="688"/>
      <c r="O62" s="44"/>
      <c r="P62" s="1066">
        <f>L62*G62</f>
        <v>20812.32</v>
      </c>
      <c r="Q62" s="1065">
        <f t="shared" si="10"/>
        <v>6701.5670399999999</v>
      </c>
      <c r="R62" s="1069">
        <f t="shared" si="16"/>
        <v>27513.887040000001</v>
      </c>
      <c r="S62" s="492"/>
      <c r="U62" s="160">
        <f t="shared" si="15"/>
        <v>27513.887040000001</v>
      </c>
      <c r="V62" s="7"/>
      <c r="W62" s="7"/>
      <c r="X62" s="7"/>
      <c r="Y62" s="7"/>
      <c r="Z62" s="365"/>
      <c r="AA62" s="7"/>
      <c r="AB62" s="7"/>
      <c r="AC62" s="7"/>
    </row>
    <row r="63" spans="1:31" ht="15.75" x14ac:dyDescent="0.25">
      <c r="A63" s="1189" t="s">
        <v>470</v>
      </c>
      <c r="B63" s="889"/>
      <c r="C63" s="53" t="s">
        <v>16</v>
      </c>
      <c r="D63" s="52"/>
      <c r="E63" s="54"/>
      <c r="F63" s="52">
        <v>141.75</v>
      </c>
      <c r="G63" s="55">
        <v>6</v>
      </c>
      <c r="H63" s="58">
        <v>1857.69</v>
      </c>
      <c r="I63" s="430"/>
      <c r="J63" s="56"/>
      <c r="K63" s="328"/>
      <c r="L63" s="329">
        <f>L59/14</f>
        <v>1857.69</v>
      </c>
      <c r="M63" s="688"/>
      <c r="N63" s="688"/>
      <c r="O63" s="44"/>
      <c r="P63" s="1066">
        <f>L63*G63</f>
        <v>11146.14</v>
      </c>
      <c r="Q63" s="1065">
        <f t="shared" si="10"/>
        <v>3589.05708</v>
      </c>
      <c r="R63" s="1069">
        <f t="shared" si="16"/>
        <v>14735.19708</v>
      </c>
      <c r="S63" s="492"/>
      <c r="U63" s="160">
        <f t="shared" si="15"/>
        <v>14735.19708</v>
      </c>
      <c r="V63" s="7"/>
      <c r="W63" s="7"/>
      <c r="X63" s="7"/>
      <c r="Y63" s="7"/>
      <c r="Z63" s="365"/>
      <c r="AA63" s="7"/>
      <c r="AB63" s="7"/>
      <c r="AC63" s="7"/>
    </row>
    <row r="64" spans="1:31" ht="15.75" x14ac:dyDescent="0.25">
      <c r="A64" s="1189" t="s">
        <v>320</v>
      </c>
      <c r="B64" s="52"/>
      <c r="C64" s="53" t="s">
        <v>16</v>
      </c>
      <c r="D64" s="52"/>
      <c r="E64" s="54"/>
      <c r="F64" s="52">
        <v>1</v>
      </c>
      <c r="G64" s="55">
        <v>6</v>
      </c>
      <c r="H64" s="58">
        <v>289.06</v>
      </c>
      <c r="I64" s="430"/>
      <c r="J64" s="56"/>
      <c r="K64" s="328"/>
      <c r="L64" s="329">
        <f>H64</f>
        <v>289.06</v>
      </c>
      <c r="M64" s="688"/>
      <c r="N64" s="688"/>
      <c r="O64" s="44"/>
      <c r="P64" s="1066">
        <f>H64*6</f>
        <v>1734.3600000000001</v>
      </c>
      <c r="Q64" s="1065">
        <f t="shared" si="10"/>
        <v>558.46392000000003</v>
      </c>
      <c r="R64" s="1069">
        <f t="shared" si="16"/>
        <v>2292.8239200000003</v>
      </c>
      <c r="S64" s="492"/>
      <c r="U64" s="160">
        <f t="shared" si="15"/>
        <v>2292.8239200000003</v>
      </c>
      <c r="V64" s="7"/>
      <c r="W64" s="7"/>
      <c r="X64" s="7"/>
      <c r="Y64" s="7"/>
      <c r="Z64" s="365"/>
      <c r="AA64" s="7"/>
      <c r="AB64" s="7"/>
      <c r="AC64" s="7"/>
    </row>
    <row r="65" spans="1:29" ht="15.75" x14ac:dyDescent="0.25">
      <c r="A65" s="1189" t="s">
        <v>321</v>
      </c>
      <c r="B65" s="52"/>
      <c r="C65" s="53" t="s">
        <v>16</v>
      </c>
      <c r="D65" s="52"/>
      <c r="E65" s="54"/>
      <c r="F65" s="52">
        <f>F63*I65</f>
        <v>28.35</v>
      </c>
      <c r="G65" s="55">
        <v>6</v>
      </c>
      <c r="H65" s="58">
        <f>H57</f>
        <v>1.5289629629629631</v>
      </c>
      <c r="I65" s="430">
        <v>0.2</v>
      </c>
      <c r="J65" s="56"/>
      <c r="K65" s="328"/>
      <c r="L65" s="329">
        <f>F65*H65</f>
        <v>43.346100000000007</v>
      </c>
      <c r="M65" s="688"/>
      <c r="N65" s="271">
        <v>1552.2249999999999</v>
      </c>
      <c r="O65" s="44"/>
      <c r="P65" s="1066">
        <f>L65*G65</f>
        <v>260.07660000000004</v>
      </c>
      <c r="Q65" s="1065">
        <f t="shared" si="10"/>
        <v>83.744665200000014</v>
      </c>
      <c r="R65" s="1069">
        <f t="shared" si="16"/>
        <v>343.82126520000008</v>
      </c>
      <c r="S65" s="492"/>
      <c r="U65" s="1529">
        <f t="shared" si="15"/>
        <v>343.82126520000008</v>
      </c>
      <c r="V65" s="7"/>
      <c r="W65" s="7"/>
      <c r="X65" s="7"/>
      <c r="Y65" s="7"/>
      <c r="Z65" s="365"/>
      <c r="AA65" s="7"/>
      <c r="AB65" s="7"/>
      <c r="AC65" s="7"/>
    </row>
    <row r="66" spans="1:29" ht="15.75" x14ac:dyDescent="0.25">
      <c r="A66" s="1236" t="s">
        <v>319</v>
      </c>
      <c r="B66" s="47"/>
      <c r="C66" s="48" t="s">
        <v>16</v>
      </c>
      <c r="D66" s="47"/>
      <c r="E66" s="49"/>
      <c r="F66" s="47">
        <f>F63*I66</f>
        <v>32.602499999999999</v>
      </c>
      <c r="G66" s="1248">
        <v>6</v>
      </c>
      <c r="H66" s="246">
        <f>H61</f>
        <v>3.8224074074074075</v>
      </c>
      <c r="I66" s="1237">
        <v>0.23</v>
      </c>
      <c r="J66" s="446"/>
      <c r="K66" s="51"/>
      <c r="L66" s="329">
        <f>F66*H66</f>
        <v>124.6200375</v>
      </c>
      <c r="M66" s="1222"/>
      <c r="N66" s="689">
        <v>7766.7293823529408</v>
      </c>
      <c r="O66" s="247"/>
      <c r="P66" s="1169">
        <f>L66*G66</f>
        <v>747.72022500000003</v>
      </c>
      <c r="Q66" s="1192">
        <f t="shared" si="10"/>
        <v>240.76591245</v>
      </c>
      <c r="R66" s="1069">
        <f t="shared" si="16"/>
        <v>988.48613745</v>
      </c>
      <c r="S66" s="492"/>
      <c r="U66" s="160">
        <f t="shared" si="15"/>
        <v>988.48613745</v>
      </c>
      <c r="V66" s="7"/>
      <c r="W66" s="7"/>
      <c r="X66" s="7"/>
      <c r="Y66" s="7"/>
      <c r="Z66" s="365"/>
      <c r="AA66" s="7"/>
      <c r="AB66" s="7"/>
      <c r="AC66" s="7"/>
    </row>
    <row r="67" spans="1:29" ht="15.75" x14ac:dyDescent="0.25">
      <c r="A67" s="1610" t="s">
        <v>690</v>
      </c>
      <c r="B67" s="1611"/>
      <c r="C67" s="1611"/>
      <c r="D67" s="1611"/>
      <c r="E67" s="1611"/>
      <c r="F67" s="1612">
        <f>F68</f>
        <v>3402</v>
      </c>
      <c r="G67" s="1613">
        <v>2</v>
      </c>
      <c r="H67" s="1613"/>
      <c r="I67" s="1614"/>
      <c r="J67" s="1611"/>
      <c r="K67" s="1615"/>
      <c r="L67" s="1616"/>
      <c r="M67" s="1616"/>
      <c r="N67" s="1617"/>
      <c r="O67" s="1618"/>
      <c r="P67" s="1618">
        <f>P68</f>
        <v>58952.76</v>
      </c>
      <c r="Q67" s="1619">
        <f>Q68</f>
        <v>18982.78872</v>
      </c>
      <c r="R67" s="1620">
        <f>R68</f>
        <v>77935.548719999992</v>
      </c>
      <c r="S67" s="492"/>
      <c r="T67" t="s">
        <v>691</v>
      </c>
      <c r="U67" s="1549">
        <f>SUM(U59:U66)</f>
        <v>263849.62321286683</v>
      </c>
      <c r="V67" s="7"/>
      <c r="W67" s="7"/>
      <c r="X67" s="7"/>
      <c r="Y67" s="7"/>
      <c r="Z67" s="365"/>
      <c r="AA67" s="7"/>
      <c r="AB67" s="7"/>
      <c r="AC67" s="7"/>
    </row>
    <row r="68" spans="1:29" x14ac:dyDescent="0.25">
      <c r="A68" s="1621" t="s">
        <v>692</v>
      </c>
      <c r="B68" s="731"/>
      <c r="C68" s="731"/>
      <c r="D68" s="731"/>
      <c r="E68" s="731"/>
      <c r="F68" s="1621">
        <v>3402</v>
      </c>
      <c r="G68" s="731"/>
      <c r="H68" s="731"/>
      <c r="I68" s="731"/>
      <c r="J68" s="731"/>
      <c r="K68" s="731"/>
      <c r="L68" s="731"/>
      <c r="M68" s="731" t="e">
        <f>M39+M48+M59+#REF!</f>
        <v>#REF!</v>
      </c>
      <c r="N68" s="731" t="e">
        <f>N38+N39+N48</f>
        <v>#REF!</v>
      </c>
      <c r="O68" s="731"/>
      <c r="P68" s="1622">
        <f>SUM(P69:P70)</f>
        <v>58952.76</v>
      </c>
      <c r="Q68" s="1622">
        <f>SUM(Q69:Q70)</f>
        <v>18982.78872</v>
      </c>
      <c r="R68" s="1623">
        <f>SUM(R69:R70)</f>
        <v>77935.548719999992</v>
      </c>
      <c r="S68" s="492"/>
      <c r="U68" s="160">
        <f t="shared" ref="U68:U69" si="17">R69</f>
        <v>68764.253039999996</v>
      </c>
      <c r="V68" s="7"/>
      <c r="W68" s="7"/>
      <c r="X68" s="7"/>
      <c r="Y68" s="7"/>
      <c r="Z68" s="365"/>
      <c r="AA68" s="7"/>
      <c r="AB68" s="7"/>
      <c r="AC68" s="7"/>
    </row>
    <row r="69" spans="1:29" x14ac:dyDescent="0.25">
      <c r="A69" s="1260" t="s">
        <v>304</v>
      </c>
      <c r="B69" s="736"/>
      <c r="C69" s="737"/>
      <c r="D69" s="736"/>
      <c r="E69" s="738"/>
      <c r="F69" s="736">
        <v>1701</v>
      </c>
      <c r="G69" s="118">
        <v>2</v>
      </c>
      <c r="H69" s="739">
        <v>26007.66</v>
      </c>
      <c r="I69" s="118"/>
      <c r="J69" s="1624"/>
      <c r="K69" s="742"/>
      <c r="L69" s="614">
        <f>H69</f>
        <v>26007.66</v>
      </c>
      <c r="M69" s="1625" t="e">
        <f>L69+#REF!</f>
        <v>#REF!</v>
      </c>
      <c r="N69" s="1063" t="e">
        <f>IF(#REF!&gt;M69,#REF!,M69)</f>
        <v>#REF!</v>
      </c>
      <c r="O69" s="744"/>
      <c r="P69" s="1626">
        <f>L69*G69</f>
        <v>52015.32</v>
      </c>
      <c r="Q69" s="1192">
        <f t="shared" si="10"/>
        <v>16748.93304</v>
      </c>
      <c r="R69" s="1274">
        <f>SUM(P69:Q69)</f>
        <v>68764.253039999996</v>
      </c>
      <c r="S69" s="492"/>
      <c r="U69" s="160">
        <f t="shared" si="17"/>
        <v>9171.2956800000011</v>
      </c>
      <c r="V69" s="7"/>
      <c r="W69" s="7"/>
      <c r="X69" s="7"/>
      <c r="Y69" s="7"/>
      <c r="Z69" s="365"/>
      <c r="AA69" s="7"/>
      <c r="AB69" s="7"/>
      <c r="AC69" s="7"/>
    </row>
    <row r="70" spans="1:29" ht="15.75" thickBot="1" x14ac:dyDescent="0.3">
      <c r="A70" s="1260" t="s">
        <v>693</v>
      </c>
      <c r="B70" s="736"/>
      <c r="C70" s="737"/>
      <c r="D70" s="736"/>
      <c r="E70" s="738"/>
      <c r="F70" s="736">
        <v>12</v>
      </c>
      <c r="G70" s="118">
        <v>2</v>
      </c>
      <c r="H70" s="739">
        <v>289.06</v>
      </c>
      <c r="I70" s="118"/>
      <c r="J70" s="1624"/>
      <c r="K70" s="742"/>
      <c r="L70" s="614">
        <f>F70*H70</f>
        <v>3468.7200000000003</v>
      </c>
      <c r="M70" s="1625"/>
      <c r="N70" s="1063"/>
      <c r="O70" s="744"/>
      <c r="P70" s="1626">
        <f>L70*G70</f>
        <v>6937.4400000000005</v>
      </c>
      <c r="Q70" s="1192">
        <f>P70*B12</f>
        <v>2233.8556800000001</v>
      </c>
      <c r="R70" s="1274">
        <f>P70+Q70</f>
        <v>9171.2956800000011</v>
      </c>
      <c r="S70" s="492"/>
      <c r="U70" s="1549">
        <f>SUM(U68:U69)</f>
        <v>77935.548719999992</v>
      </c>
      <c r="V70" s="7"/>
      <c r="W70" s="7"/>
      <c r="X70" s="7"/>
      <c r="Y70" s="7"/>
      <c r="Z70" s="365"/>
      <c r="AA70" s="7"/>
      <c r="AB70" s="7"/>
      <c r="AC70" s="7"/>
    </row>
    <row r="71" spans="1:29" ht="30" customHeight="1" thickBot="1" x14ac:dyDescent="0.3">
      <c r="A71" s="1627" t="s">
        <v>44</v>
      </c>
      <c r="B71" s="59"/>
      <c r="C71" s="59"/>
      <c r="D71" s="59"/>
      <c r="E71" s="60"/>
      <c r="F71" s="61"/>
      <c r="G71" s="62"/>
      <c r="H71" s="60"/>
      <c r="I71" s="60"/>
      <c r="J71" s="63"/>
      <c r="K71" s="64"/>
      <c r="L71" s="64"/>
      <c r="M71" s="64"/>
      <c r="N71" s="65" t="e">
        <f>SUM(N21:N70)</f>
        <v>#REF!</v>
      </c>
      <c r="O71" s="1628"/>
      <c r="P71" s="1629">
        <f>P67+P46+P20</f>
        <v>984503.43198291759</v>
      </c>
      <c r="Q71" s="1629">
        <f>Q20+Q46+Q67</f>
        <v>317010.10509849951</v>
      </c>
      <c r="R71" s="1629">
        <f>R20+R46+R67</f>
        <v>1301513.5370814172</v>
      </c>
      <c r="S71" s="110"/>
      <c r="T71" s="17"/>
      <c r="U71" s="581">
        <f>U70+U67+U58+U47+U37+U27</f>
        <v>1301513.5370814172</v>
      </c>
      <c r="V71" s="7"/>
      <c r="W71" s="7"/>
      <c r="X71" s="7"/>
      <c r="Y71" s="7"/>
      <c r="Z71" s="365"/>
      <c r="AA71" s="7"/>
      <c r="AB71" s="7"/>
      <c r="AC71" s="7"/>
    </row>
    <row r="72" spans="1:29" x14ac:dyDescent="0.25">
      <c r="A72" s="1296"/>
      <c r="B72" s="97"/>
      <c r="C72" s="97"/>
      <c r="D72" s="97"/>
      <c r="E72" s="1277"/>
      <c r="F72" s="1278"/>
      <c r="G72" s="1297"/>
      <c r="H72" s="1277"/>
      <c r="I72" s="1277"/>
      <c r="J72" s="472"/>
      <c r="K72" s="473"/>
      <c r="L72" s="473"/>
      <c r="M72" s="473"/>
      <c r="N72" s="1298"/>
      <c r="O72" s="678"/>
      <c r="P72" s="678"/>
      <c r="Q72" s="678"/>
      <c r="R72" s="1299"/>
      <c r="S72" s="110"/>
      <c r="T72" s="82">
        <v>5105.0404010595685</v>
      </c>
      <c r="U72" s="81"/>
      <c r="V72" s="7"/>
      <c r="W72" s="7"/>
      <c r="X72" s="7"/>
      <c r="Y72" s="7"/>
      <c r="Z72" s="365"/>
      <c r="AA72" s="7"/>
      <c r="AB72" s="7"/>
      <c r="AC72" s="7"/>
    </row>
    <row r="73" spans="1:29" ht="23.25" customHeight="1" x14ac:dyDescent="0.25">
      <c r="A73" s="1308" t="s">
        <v>45</v>
      </c>
      <c r="B73" s="1309"/>
      <c r="C73" s="1309"/>
      <c r="D73" s="1309"/>
      <c r="E73" s="1310"/>
      <c r="F73" s="1311"/>
      <c r="G73" s="1310"/>
      <c r="H73" s="1310"/>
      <c r="I73" s="1310"/>
      <c r="J73" s="1312"/>
      <c r="K73" s="1313"/>
      <c r="L73" s="1313"/>
      <c r="M73" s="1313"/>
      <c r="N73" s="1313"/>
      <c r="O73" s="1294"/>
      <c r="P73" s="1294"/>
      <c r="Q73" s="1294"/>
      <c r="R73" s="1314"/>
      <c r="S73" s="110"/>
      <c r="T73" s="82">
        <v>10461.148362826985</v>
      </c>
      <c r="U73" s="81">
        <f t="shared" ref="U73:U76" si="18">R74</f>
        <v>22776.486898924803</v>
      </c>
      <c r="V73" s="7"/>
      <c r="W73" s="7"/>
      <c r="X73" s="7"/>
      <c r="Y73" s="7"/>
      <c r="Z73" s="365"/>
      <c r="AA73" s="7"/>
      <c r="AB73" s="7"/>
      <c r="AC73" s="7"/>
    </row>
    <row r="74" spans="1:29" ht="27.75" customHeight="1" x14ac:dyDescent="0.25">
      <c r="A74" s="1300" t="s">
        <v>17</v>
      </c>
      <c r="B74" s="1301">
        <v>1.7500000000000002E-2</v>
      </c>
      <c r="C74" s="135"/>
      <c r="D74" s="1302"/>
      <c r="E74" s="1302"/>
      <c r="F74" s="1302"/>
      <c r="G74" s="1302"/>
      <c r="H74" s="1302"/>
      <c r="I74" s="1302"/>
      <c r="J74" s="1302"/>
      <c r="K74" s="1304"/>
      <c r="L74" s="1305"/>
      <c r="M74" s="1305"/>
      <c r="N74" s="1306">
        <f>P71</f>
        <v>984503.43198291759</v>
      </c>
      <c r="O74" s="1307"/>
      <c r="P74" s="1307">
        <f>P71*B74</f>
        <v>17228.81005970106</v>
      </c>
      <c r="Q74" s="1307">
        <f>P74*B12</f>
        <v>5547.6768392237418</v>
      </c>
      <c r="R74" s="136">
        <f>P74+Q74</f>
        <v>22776.486898924803</v>
      </c>
      <c r="S74" s="110"/>
      <c r="T74" s="82"/>
      <c r="U74" s="81">
        <f t="shared" si="18"/>
        <v>19690.068639658351</v>
      </c>
      <c r="V74" s="7"/>
      <c r="W74" s="7"/>
      <c r="X74" s="7"/>
      <c r="Y74" s="7"/>
      <c r="Z74" s="365"/>
      <c r="AA74" s="7"/>
      <c r="AB74" s="7"/>
      <c r="AC74" s="7"/>
    </row>
    <row r="75" spans="1:29" ht="24" customHeight="1" x14ac:dyDescent="0.25">
      <c r="A75" s="227" t="s">
        <v>18</v>
      </c>
      <c r="B75" s="79">
        <v>0.02</v>
      </c>
      <c r="C75" s="7"/>
      <c r="D75" s="78"/>
      <c r="E75" s="78"/>
      <c r="F75" s="78"/>
      <c r="G75" s="78"/>
      <c r="H75" s="78"/>
      <c r="I75" s="78"/>
      <c r="J75" s="78"/>
      <c r="K75" s="80"/>
      <c r="L75" s="331"/>
      <c r="M75" s="331"/>
      <c r="N75" s="749">
        <f>P71</f>
        <v>984503.43198291759</v>
      </c>
      <c r="O75" s="339"/>
      <c r="P75" s="339">
        <f>P71*B75</f>
        <v>19690.068639658351</v>
      </c>
      <c r="Q75" s="339"/>
      <c r="R75" s="81">
        <f t="shared" ref="R75:R77" si="19">P75+Q75</f>
        <v>19690.068639658351</v>
      </c>
      <c r="S75" s="90"/>
      <c r="U75" s="81">
        <f t="shared" si="18"/>
        <v>38343.756690890907</v>
      </c>
      <c r="V75" s="557"/>
      <c r="W75" s="557"/>
      <c r="X75" s="557"/>
      <c r="Y75" s="557"/>
      <c r="Z75" s="1371"/>
      <c r="AA75" s="7"/>
      <c r="AB75" s="7"/>
      <c r="AC75" s="7"/>
    </row>
    <row r="76" spans="1:29" ht="33" customHeight="1" x14ac:dyDescent="0.25">
      <c r="A76" s="227" t="s">
        <v>629</v>
      </c>
      <c r="B76" s="878">
        <v>0.03</v>
      </c>
      <c r="C76" s="7"/>
      <c r="D76" s="78"/>
      <c r="E76" s="84"/>
      <c r="F76" s="78"/>
      <c r="G76" s="78"/>
      <c r="H76" s="78"/>
      <c r="I76" s="78"/>
      <c r="J76" s="78"/>
      <c r="K76" s="80"/>
      <c r="L76" s="331"/>
      <c r="M76" s="331"/>
      <c r="N76" s="749">
        <f>P71</f>
        <v>984503.43198291759</v>
      </c>
      <c r="O76" s="339"/>
      <c r="P76" s="339">
        <f>(P71-P27-P33-P37-P44-L53)*B76</f>
        <v>29004.354531687524</v>
      </c>
      <c r="Q76" s="339">
        <f>P76*B12</f>
        <v>9339.4021592033823</v>
      </c>
      <c r="R76" s="81">
        <f t="shared" si="19"/>
        <v>38343.756690890907</v>
      </c>
      <c r="S76" s="90"/>
      <c r="U76" s="81">
        <f t="shared" si="18"/>
        <v>40195.718813169238</v>
      </c>
      <c r="V76" s="557"/>
      <c r="W76" s="557"/>
      <c r="X76" s="557"/>
      <c r="Y76" s="557"/>
      <c r="Z76" s="1371"/>
      <c r="AA76" s="7"/>
      <c r="AB76" s="7"/>
      <c r="AC76" s="7"/>
    </row>
    <row r="77" spans="1:29" ht="32.25" customHeight="1" thickBot="1" x14ac:dyDescent="0.3">
      <c r="A77" s="1200" t="s">
        <v>630</v>
      </c>
      <c r="B77" s="878">
        <v>0.03</v>
      </c>
      <c r="C77" s="7"/>
      <c r="D77" s="78"/>
      <c r="E77" s="84"/>
      <c r="F77" s="78"/>
      <c r="G77" s="78"/>
      <c r="H77" s="78"/>
      <c r="I77" s="78"/>
      <c r="J77" s="78"/>
      <c r="K77" s="80"/>
      <c r="L77" s="331"/>
      <c r="M77" s="331"/>
      <c r="N77" s="749"/>
      <c r="O77" s="1630"/>
      <c r="P77" s="1630">
        <f>(P71+P76)*B77</f>
        <v>30405.233595438152</v>
      </c>
      <c r="Q77" s="1630">
        <f>P77*B12</f>
        <v>9790.4852177310859</v>
      </c>
      <c r="R77" s="81">
        <f t="shared" si="19"/>
        <v>40195.718813169238</v>
      </c>
      <c r="S77" s="90"/>
      <c r="U77" s="1631">
        <f>SUM(U73:U76)</f>
        <v>121006.0310426433</v>
      </c>
      <c r="V77" s="557"/>
      <c r="W77" s="557"/>
      <c r="X77" s="557"/>
      <c r="Y77" s="557"/>
      <c r="Z77" s="1371"/>
      <c r="AA77" s="7"/>
      <c r="AB77" s="7"/>
      <c r="AC77" s="7"/>
    </row>
    <row r="78" spans="1:29" ht="30" customHeight="1" thickBot="1" x14ac:dyDescent="0.3">
      <c r="A78" s="225" t="s">
        <v>47</v>
      </c>
      <c r="B78" s="1632"/>
      <c r="C78" s="732"/>
      <c r="D78" s="732"/>
      <c r="E78" s="733"/>
      <c r="F78" s="1402"/>
      <c r="G78" s="735"/>
      <c r="H78" s="733"/>
      <c r="I78" s="733"/>
      <c r="J78" s="336"/>
      <c r="K78" s="333">
        <f>SUM(K74:K76)</f>
        <v>0</v>
      </c>
      <c r="L78" s="333">
        <f>SUM(L74:L76)</f>
        <v>0</v>
      </c>
      <c r="M78" s="333"/>
      <c r="N78" s="337">
        <f>SUM(N74:N76)</f>
        <v>2953510.2959487527</v>
      </c>
      <c r="O78" s="1633"/>
      <c r="P78" s="1634">
        <f>SUM(P74:P77)</f>
        <v>96328.466826485092</v>
      </c>
      <c r="Q78" s="1635">
        <f>SUM(Q74:Q77)</f>
        <v>24677.564216158211</v>
      </c>
      <c r="R78" s="1636">
        <f>SUM(R74:R77)</f>
        <v>121006.0310426433</v>
      </c>
      <c r="S78" s="651"/>
      <c r="T78" t="s">
        <v>691</v>
      </c>
      <c r="U78" s="1637">
        <f>U77+U71</f>
        <v>1422519.5681240605</v>
      </c>
      <c r="V78" s="7"/>
      <c r="W78" s="7"/>
      <c r="X78" s="7"/>
      <c r="Y78" s="7"/>
      <c r="Z78" s="365"/>
      <c r="AA78" s="7"/>
      <c r="AB78" s="7"/>
      <c r="AC78" s="7"/>
    </row>
    <row r="79" spans="1:29" s="2" customFormat="1" ht="30" customHeight="1" thickBot="1" x14ac:dyDescent="0.3">
      <c r="A79" s="1295" t="s">
        <v>643</v>
      </c>
      <c r="B79" s="1279"/>
      <c r="C79" s="1280"/>
      <c r="D79" s="1280"/>
      <c r="E79" s="1281"/>
      <c r="F79" s="1282"/>
      <c r="G79" s="1281"/>
      <c r="H79" s="1281"/>
      <c r="I79" s="1281"/>
      <c r="J79" s="1283"/>
      <c r="K79" s="1284"/>
      <c r="L79" s="1284"/>
      <c r="M79" s="1284"/>
      <c r="N79" s="1284"/>
      <c r="O79" s="1285"/>
      <c r="P79" s="1286">
        <f>P71+P78</f>
        <v>1080831.8988094027</v>
      </c>
      <c r="Q79" s="1286">
        <f>Q71+Q78</f>
        <v>341687.66931465775</v>
      </c>
      <c r="R79" s="1293">
        <f>R71+R78</f>
        <v>1422519.5681240605</v>
      </c>
      <c r="S79" s="99"/>
      <c r="U79" s="7"/>
      <c r="V79" s="4"/>
      <c r="W79" s="4"/>
      <c r="X79" s="4"/>
      <c r="Y79" s="8"/>
      <c r="Z79" s="1369"/>
      <c r="AA79" s="4"/>
      <c r="AB79" s="4"/>
      <c r="AC79" s="4"/>
    </row>
    <row r="80" spans="1:29" s="2" customFormat="1" ht="21.95" customHeight="1" thickBot="1" x14ac:dyDescent="0.3">
      <c r="A80" s="1275"/>
      <c r="B80" s="1276"/>
      <c r="C80" s="97"/>
      <c r="D80" s="97"/>
      <c r="E80" s="1277"/>
      <c r="F80" s="1278"/>
      <c r="G80" s="1277"/>
      <c r="H80" s="1277"/>
      <c r="I80" s="1277"/>
      <c r="J80" s="472"/>
      <c r="K80" s="473"/>
      <c r="L80" s="473"/>
      <c r="M80" s="473"/>
      <c r="N80" s="473"/>
      <c r="O80" s="678"/>
      <c r="P80" s="678"/>
      <c r="Q80" s="678"/>
      <c r="R80" s="90"/>
      <c r="S80" s="99"/>
      <c r="U80" s="4"/>
      <c r="V80" s="4"/>
      <c r="W80" s="4"/>
      <c r="X80" s="4"/>
      <c r="Y80" s="8"/>
      <c r="Z80" s="1372"/>
      <c r="AA80" s="4"/>
      <c r="AB80" s="4"/>
      <c r="AC80" s="4"/>
    </row>
    <row r="81" spans="1:29" s="2" customFormat="1" ht="21.95" customHeight="1" thickTop="1" x14ac:dyDescent="0.25">
      <c r="A81" s="347" t="s">
        <v>48</v>
      </c>
      <c r="B81" s="348"/>
      <c r="C81" s="349"/>
      <c r="D81" s="350"/>
      <c r="E81" s="351" t="s">
        <v>312</v>
      </c>
      <c r="F81" s="351" t="s">
        <v>238</v>
      </c>
      <c r="G81" s="351" t="s">
        <v>49</v>
      </c>
      <c r="H81" s="351" t="s">
        <v>313</v>
      </c>
      <c r="I81" s="351"/>
      <c r="J81" s="350"/>
      <c r="K81" s="350"/>
      <c r="L81" s="350"/>
      <c r="M81" s="350"/>
      <c r="N81" s="350"/>
      <c r="O81" s="680"/>
      <c r="P81" s="680"/>
      <c r="Q81" s="680"/>
      <c r="R81" s="352" t="s">
        <v>50</v>
      </c>
      <c r="S81" s="99"/>
      <c r="U81" s="4"/>
      <c r="V81" s="4"/>
      <c r="W81" s="4"/>
      <c r="X81" s="4"/>
      <c r="Y81" s="8"/>
      <c r="Z81" s="1372"/>
      <c r="AA81" s="4"/>
      <c r="AB81" s="4"/>
      <c r="AC81" s="4"/>
    </row>
    <row r="82" spans="1:29" ht="24" customHeight="1" x14ac:dyDescent="0.25">
      <c r="A82" s="360" t="s">
        <v>311</v>
      </c>
      <c r="B82" s="358"/>
      <c r="C82" s="358"/>
      <c r="D82" s="358"/>
      <c r="E82" s="267">
        <v>8</v>
      </c>
      <c r="F82" s="267">
        <v>350</v>
      </c>
      <c r="G82" s="267">
        <v>30</v>
      </c>
      <c r="H82" s="267">
        <f>E82*G82</f>
        <v>240</v>
      </c>
      <c r="I82" s="359"/>
      <c r="J82" s="358"/>
      <c r="K82" s="358"/>
      <c r="L82" s="358"/>
      <c r="M82" s="358"/>
      <c r="N82" s="358"/>
      <c r="O82" s="358"/>
      <c r="P82" s="358"/>
      <c r="Q82" s="358"/>
      <c r="R82" s="116">
        <f>F82*H82</f>
        <v>84000</v>
      </c>
      <c r="S82" s="90"/>
      <c r="T82" s="106"/>
      <c r="U82" s="1362"/>
      <c r="V82" s="760"/>
      <c r="W82" s="1638">
        <f>$R$82</f>
        <v>84000</v>
      </c>
      <c r="X82" s="760"/>
      <c r="Y82" s="1392"/>
      <c r="Z82" s="1411"/>
      <c r="AA82" s="7"/>
      <c r="AB82" s="7"/>
      <c r="AC82" s="7"/>
    </row>
    <row r="83" spans="1:29" s="2" customFormat="1" ht="25.5" customHeight="1" x14ac:dyDescent="0.25">
      <c r="A83" s="1639" t="s">
        <v>694</v>
      </c>
      <c r="B83" s="358"/>
      <c r="C83" s="358"/>
      <c r="D83" s="358"/>
      <c r="E83" s="267">
        <v>2</v>
      </c>
      <c r="F83" s="267">
        <v>1500</v>
      </c>
      <c r="G83" s="267">
        <v>45</v>
      </c>
      <c r="H83" s="267">
        <f>G83*E83</f>
        <v>90</v>
      </c>
      <c r="I83" s="359"/>
      <c r="J83" s="358"/>
      <c r="K83" s="358"/>
      <c r="L83" s="358"/>
      <c r="M83" s="358"/>
      <c r="N83" s="358"/>
      <c r="O83" s="358"/>
      <c r="P83" s="358"/>
      <c r="Q83" s="358"/>
      <c r="R83" s="116">
        <f>F83*H83</f>
        <v>135000</v>
      </c>
      <c r="S83" s="90"/>
      <c r="T83" s="106"/>
      <c r="U83" s="1362"/>
      <c r="V83" s="760"/>
      <c r="W83" s="760"/>
      <c r="X83" s="1638">
        <f>$R$83</f>
        <v>135000</v>
      </c>
      <c r="Y83" s="1392"/>
      <c r="Z83" s="1411"/>
      <c r="AA83" s="4"/>
      <c r="AB83" s="4"/>
      <c r="AC83" s="4"/>
    </row>
    <row r="84" spans="1:29" ht="30" customHeight="1" x14ac:dyDescent="0.25">
      <c r="A84" s="360" t="s">
        <v>132</v>
      </c>
      <c r="B84" s="254"/>
      <c r="C84" s="254"/>
      <c r="D84" s="254"/>
      <c r="E84" s="278">
        <v>1</v>
      </c>
      <c r="F84" s="267">
        <v>220</v>
      </c>
      <c r="G84" s="267">
        <v>45</v>
      </c>
      <c r="H84" s="267">
        <v>45</v>
      </c>
      <c r="I84" s="279"/>
      <c r="J84" s="254"/>
      <c r="K84" s="280"/>
      <c r="L84" s="280"/>
      <c r="M84" s="280"/>
      <c r="N84" s="362"/>
      <c r="O84" s="281"/>
      <c r="P84" s="281"/>
      <c r="Q84" s="281"/>
      <c r="R84" s="116">
        <f>H84*F84</f>
        <v>9900</v>
      </c>
      <c r="S84" s="634"/>
      <c r="T84" s="2"/>
      <c r="U84" s="1638"/>
      <c r="V84" s="4"/>
      <c r="W84" s="4"/>
      <c r="X84" s="4"/>
      <c r="Y84" s="1362">
        <f>$R$84</f>
        <v>9900</v>
      </c>
      <c r="Z84" s="1369"/>
      <c r="AA84" s="7"/>
      <c r="AB84" s="7"/>
      <c r="AC84" s="7"/>
    </row>
    <row r="85" spans="1:29" s="2" customFormat="1" ht="25.5" customHeight="1" x14ac:dyDescent="0.25">
      <c r="A85" s="360" t="s">
        <v>133</v>
      </c>
      <c r="B85" s="254"/>
      <c r="C85" s="254"/>
      <c r="D85" s="254"/>
      <c r="E85" s="278">
        <v>1</v>
      </c>
      <c r="F85" s="267">
        <v>300</v>
      </c>
      <c r="G85" s="267">
        <v>35</v>
      </c>
      <c r="H85" s="267">
        <f>G85*E85</f>
        <v>35</v>
      </c>
      <c r="I85" s="279"/>
      <c r="J85" s="254"/>
      <c r="K85" s="280"/>
      <c r="L85" s="280"/>
      <c r="M85" s="280"/>
      <c r="N85" s="362"/>
      <c r="O85" s="281"/>
      <c r="P85" s="281"/>
      <c r="Q85" s="281"/>
      <c r="R85" s="116">
        <f>H85*F85</f>
        <v>10500</v>
      </c>
      <c r="S85" s="109"/>
      <c r="T85" s="106"/>
      <c r="U85" s="1362"/>
      <c r="V85" s="4"/>
      <c r="W85" s="4"/>
      <c r="X85" s="4"/>
      <c r="Y85" s="1362"/>
      <c r="Z85" s="1640">
        <f>$R$85</f>
        <v>10500</v>
      </c>
      <c r="AA85" s="4"/>
      <c r="AB85" s="4"/>
      <c r="AC85" s="4"/>
    </row>
    <row r="86" spans="1:29" s="2" customFormat="1" ht="25.5" customHeight="1" x14ac:dyDescent="0.25">
      <c r="A86" s="360" t="s">
        <v>667</v>
      </c>
      <c r="B86" s="254"/>
      <c r="C86" s="254"/>
      <c r="D86" s="254"/>
      <c r="E86" s="278"/>
      <c r="F86" s="267">
        <v>10</v>
      </c>
      <c r="G86" s="267"/>
      <c r="H86" s="267">
        <v>1000</v>
      </c>
      <c r="I86" s="279"/>
      <c r="J86" s="254"/>
      <c r="K86" s="280"/>
      <c r="L86" s="280"/>
      <c r="M86" s="280"/>
      <c r="N86" s="362"/>
      <c r="O86" s="281"/>
      <c r="P86" s="281"/>
      <c r="Q86" s="281"/>
      <c r="R86" s="116">
        <f>F86*H86</f>
        <v>10000</v>
      </c>
      <c r="S86" s="109"/>
      <c r="T86" s="106"/>
      <c r="U86" s="1362"/>
      <c r="V86" s="4"/>
      <c r="W86" s="4"/>
      <c r="X86" s="4"/>
      <c r="Y86" s="1362"/>
      <c r="Z86" s="1640"/>
      <c r="AA86" s="1362">
        <f>R86</f>
        <v>10000</v>
      </c>
      <c r="AB86" s="4"/>
      <c r="AC86" s="4"/>
    </row>
    <row r="87" spans="1:29" s="2" customFormat="1" ht="25.5" customHeight="1" x14ac:dyDescent="0.25">
      <c r="A87" s="360" t="s">
        <v>664</v>
      </c>
      <c r="B87" s="254"/>
      <c r="C87" s="254"/>
      <c r="D87" s="254"/>
      <c r="E87" s="278">
        <v>2</v>
      </c>
      <c r="F87" s="267">
        <v>20</v>
      </c>
      <c r="G87" s="267">
        <v>80</v>
      </c>
      <c r="H87" s="267">
        <f>G87*E87</f>
        <v>160</v>
      </c>
      <c r="I87" s="279"/>
      <c r="J87" s="254"/>
      <c r="K87" s="280"/>
      <c r="L87" s="280"/>
      <c r="M87" s="280"/>
      <c r="N87" s="362"/>
      <c r="O87" s="281"/>
      <c r="P87" s="281"/>
      <c r="Q87" s="281"/>
      <c r="R87" s="116">
        <f>H87*F87</f>
        <v>3200</v>
      </c>
      <c r="S87" s="109"/>
      <c r="T87" s="106"/>
      <c r="U87" s="1362"/>
      <c r="V87" s="4"/>
      <c r="W87" s="4"/>
      <c r="X87" s="4"/>
      <c r="Y87" s="1362"/>
      <c r="Z87" s="1640"/>
      <c r="AA87" s="4"/>
      <c r="AB87" s="1362">
        <f>R87</f>
        <v>3200</v>
      </c>
      <c r="AC87" s="4"/>
    </row>
    <row r="88" spans="1:29" ht="30" customHeight="1" thickBot="1" x14ac:dyDescent="0.3">
      <c r="A88" s="1641" t="s">
        <v>51</v>
      </c>
      <c r="B88" s="1401"/>
      <c r="C88" s="732"/>
      <c r="D88" s="732"/>
      <c r="E88" s="733"/>
      <c r="F88" s="1402"/>
      <c r="G88" s="735"/>
      <c r="H88" s="733"/>
      <c r="I88" s="733"/>
      <c r="J88" s="336"/>
      <c r="K88" s="333"/>
      <c r="L88" s="333"/>
      <c r="M88" s="333"/>
      <c r="N88" s="337"/>
      <c r="O88" s="1403"/>
      <c r="P88" s="1403"/>
      <c r="Q88" s="1403"/>
      <c r="R88" s="1404">
        <f>SUM(R82:R87)</f>
        <v>252600</v>
      </c>
      <c r="S88" s="109"/>
      <c r="T88" s="110"/>
      <c r="U88" s="941"/>
      <c r="V88" s="4"/>
      <c r="W88" s="943">
        <f>SUM(W82:W85)</f>
        <v>84000</v>
      </c>
      <c r="X88" s="943">
        <f t="shared" ref="X88:Z88" si="20">SUM(X82:X85)</f>
        <v>135000</v>
      </c>
      <c r="Y88" s="943">
        <f t="shared" si="20"/>
        <v>9900</v>
      </c>
      <c r="Z88" s="1642">
        <f t="shared" si="20"/>
        <v>10500</v>
      </c>
      <c r="AA88" s="943">
        <f>AA86</f>
        <v>10000</v>
      </c>
      <c r="AB88" s="943">
        <f>AB87</f>
        <v>3200</v>
      </c>
      <c r="AC88" s="7"/>
    </row>
    <row r="89" spans="1:29" s="19" customFormat="1" ht="14.25" customHeight="1" thickBot="1" x14ac:dyDescent="0.3">
      <c r="A89" s="273"/>
      <c r="B89" s="249"/>
      <c r="C89" s="249"/>
      <c r="D89" s="249"/>
      <c r="E89" s="250"/>
      <c r="F89" s="251"/>
      <c r="G89" s="252"/>
      <c r="H89" s="252"/>
      <c r="I89" s="249"/>
      <c r="J89" s="249"/>
      <c r="K89" s="249"/>
      <c r="L89" s="249"/>
      <c r="M89" s="249"/>
      <c r="N89" s="249"/>
      <c r="O89" s="681"/>
      <c r="P89" s="681"/>
      <c r="Q89" s="681"/>
      <c r="R89" s="1643"/>
      <c r="S89" s="656"/>
      <c r="T89"/>
      <c r="U89" s="8"/>
      <c r="V89" s="4"/>
      <c r="W89" s="4"/>
      <c r="X89" s="4"/>
      <c r="Y89" s="4"/>
      <c r="Z89" s="1369"/>
      <c r="AA89" s="299"/>
      <c r="AB89" s="299"/>
      <c r="AC89" s="299"/>
    </row>
    <row r="90" spans="1:29" s="19" customFormat="1" ht="23.25" customHeight="1" thickBot="1" x14ac:dyDescent="0.3">
      <c r="A90" s="228" t="s">
        <v>52</v>
      </c>
      <c r="B90" s="102"/>
      <c r="C90" s="103"/>
      <c r="D90" s="103"/>
      <c r="E90" s="103"/>
      <c r="F90" s="103"/>
      <c r="G90" s="103"/>
      <c r="H90" s="103"/>
      <c r="I90" s="103"/>
      <c r="J90" s="103"/>
      <c r="K90" s="104"/>
      <c r="L90" s="104"/>
      <c r="M90" s="104"/>
      <c r="N90" s="104"/>
      <c r="O90" s="105"/>
      <c r="P90" s="105"/>
      <c r="Q90" s="876"/>
      <c r="R90" s="494">
        <f>R88+R78+R71</f>
        <v>1675119.5681240605</v>
      </c>
      <c r="S90" s="637"/>
      <c r="U90" s="941"/>
      <c r="V90" s="944"/>
      <c r="W90" s="299"/>
      <c r="X90" s="299"/>
      <c r="Y90" s="299"/>
      <c r="Z90" s="1374"/>
      <c r="AA90" s="299"/>
      <c r="AB90" s="299"/>
      <c r="AC90" s="299"/>
    </row>
    <row r="91" spans="1:29" ht="14.25" customHeight="1" x14ac:dyDescent="0.25">
      <c r="A91" s="229"/>
      <c r="B91" s="97"/>
      <c r="C91" s="97"/>
      <c r="D91" s="97"/>
      <c r="E91" s="97"/>
      <c r="F91" s="97"/>
      <c r="G91" s="97"/>
      <c r="H91" s="97"/>
      <c r="I91" s="97"/>
      <c r="J91" s="97"/>
      <c r="K91" s="98"/>
      <c r="L91" s="98"/>
      <c r="M91" s="98"/>
      <c r="N91" s="98"/>
      <c r="O91" s="108"/>
      <c r="P91" s="108"/>
      <c r="Q91" s="108"/>
      <c r="R91" s="109"/>
      <c r="S91" s="637"/>
      <c r="T91" s="19"/>
      <c r="U91" s="942"/>
      <c r="V91" s="944"/>
      <c r="W91" s="299"/>
      <c r="X91" s="299"/>
      <c r="Y91" s="299"/>
      <c r="Z91" s="1374"/>
      <c r="AA91" s="7"/>
      <c r="AB91" s="7"/>
      <c r="AC91" s="7"/>
    </row>
    <row r="92" spans="1:29" s="2" customFormat="1" x14ac:dyDescent="0.25">
      <c r="A92" s="230" t="s">
        <v>53</v>
      </c>
      <c r="B92" s="112"/>
      <c r="C92" s="112"/>
      <c r="D92" s="266" t="s">
        <v>237</v>
      </c>
      <c r="E92" s="266" t="s">
        <v>238</v>
      </c>
      <c r="F92" s="266" t="s">
        <v>239</v>
      </c>
      <c r="G92" s="266" t="s">
        <v>244</v>
      </c>
      <c r="H92" s="266"/>
      <c r="I92" s="112"/>
      <c r="J92" s="112"/>
      <c r="K92" s="112"/>
      <c r="L92" s="112"/>
      <c r="M92" s="112"/>
      <c r="N92" s="112"/>
      <c r="O92" s="113"/>
      <c r="P92" s="113"/>
      <c r="Q92" s="113"/>
      <c r="R92" s="114" t="s">
        <v>54</v>
      </c>
      <c r="S92" s="264"/>
      <c r="T92"/>
      <c r="U92" s="942"/>
      <c r="V92" s="944"/>
      <c r="W92" s="557"/>
      <c r="X92" s="557"/>
      <c r="Y92" s="557"/>
      <c r="Z92" s="1371"/>
      <c r="AA92" s="4"/>
      <c r="AB92" s="4"/>
      <c r="AC92" s="4"/>
    </row>
    <row r="93" spans="1:29" s="2" customFormat="1" ht="18" customHeight="1" x14ac:dyDescent="0.25">
      <c r="A93" s="768" t="s">
        <v>402</v>
      </c>
      <c r="B93" s="598"/>
      <c r="C93" s="599"/>
      <c r="D93" s="599"/>
      <c r="E93" s="478">
        <v>24</v>
      </c>
      <c r="F93" s="479">
        <v>12</v>
      </c>
      <c r="G93" s="546">
        <v>50</v>
      </c>
      <c r="H93" s="478"/>
      <c r="I93" s="478"/>
      <c r="J93" s="480"/>
      <c r="K93" s="921"/>
      <c r="L93" s="921"/>
      <c r="M93" s="921"/>
      <c r="N93" s="921"/>
      <c r="O93" s="922"/>
      <c r="P93" s="922"/>
      <c r="Q93" s="922"/>
      <c r="R93" s="548">
        <f>E93*G93</f>
        <v>1200</v>
      </c>
      <c r="S93" s="110"/>
      <c r="U93" s="941"/>
      <c r="V93" s="8">
        <f t="shared" ref="V93:V96" si="21">R93</f>
        <v>1200</v>
      </c>
      <c r="W93" s="4"/>
      <c r="X93" s="4"/>
      <c r="Y93" s="4"/>
      <c r="Z93" s="1369"/>
      <c r="AA93" s="4"/>
      <c r="AB93" s="4"/>
      <c r="AC93" s="4"/>
    </row>
    <row r="94" spans="1:29" s="2" customFormat="1" ht="18" customHeight="1" x14ac:dyDescent="0.25">
      <c r="A94" s="768" t="s">
        <v>526</v>
      </c>
      <c r="B94" s="598"/>
      <c r="C94" s="599"/>
      <c r="D94" s="599"/>
      <c r="E94" s="600"/>
      <c r="F94" s="479">
        <v>24</v>
      </c>
      <c r="G94" s="546">
        <v>50</v>
      </c>
      <c r="H94" s="478"/>
      <c r="I94" s="478"/>
      <c r="J94" s="480"/>
      <c r="K94" s="921"/>
      <c r="L94" s="921"/>
      <c r="M94" s="921"/>
      <c r="N94" s="921"/>
      <c r="O94" s="922"/>
      <c r="P94" s="922"/>
      <c r="Q94" s="922"/>
      <c r="R94" s="548">
        <v>1200</v>
      </c>
      <c r="S94" s="110"/>
      <c r="U94" s="4"/>
      <c r="V94" s="8">
        <f t="shared" si="21"/>
        <v>1200</v>
      </c>
      <c r="W94" s="4"/>
      <c r="X94" s="4"/>
      <c r="Y94" s="4"/>
      <c r="Z94" s="1369"/>
      <c r="AA94" s="4"/>
      <c r="AB94" s="4"/>
      <c r="AC94" s="4"/>
    </row>
    <row r="95" spans="1:29" ht="18" customHeight="1" x14ac:dyDescent="0.25">
      <c r="A95" s="360" t="s">
        <v>343</v>
      </c>
      <c r="B95" s="474"/>
      <c r="C95" s="254"/>
      <c r="D95" s="254"/>
      <c r="E95" s="478">
        <v>24</v>
      </c>
      <c r="F95" s="479"/>
      <c r="G95" s="546">
        <v>30</v>
      </c>
      <c r="H95" s="478"/>
      <c r="I95" s="478"/>
      <c r="J95" s="475"/>
      <c r="K95" s="476"/>
      <c r="L95" s="476"/>
      <c r="M95" s="476"/>
      <c r="N95" s="476"/>
      <c r="O95" s="477"/>
      <c r="P95" s="477"/>
      <c r="Q95" s="477"/>
      <c r="R95" s="548">
        <f>G95*E95</f>
        <v>720</v>
      </c>
      <c r="S95" s="99"/>
      <c r="T95" s="2"/>
      <c r="U95" s="4"/>
      <c r="V95" s="8">
        <f t="shared" si="21"/>
        <v>720</v>
      </c>
      <c r="W95" s="4"/>
      <c r="X95" s="4"/>
      <c r="Y95" s="4"/>
      <c r="Z95" s="1369"/>
      <c r="AA95" s="7"/>
      <c r="AB95" s="7"/>
      <c r="AC95" s="7"/>
    </row>
    <row r="96" spans="1:29" s="2" customFormat="1" ht="18" customHeight="1" thickBot="1" x14ac:dyDescent="0.3">
      <c r="A96" s="232" t="s">
        <v>652</v>
      </c>
      <c r="B96" s="7"/>
      <c r="C96" s="7"/>
      <c r="D96" s="119"/>
      <c r="E96" s="119">
        <v>27</v>
      </c>
      <c r="F96" s="119">
        <v>12</v>
      </c>
      <c r="G96" s="81">
        <v>42</v>
      </c>
      <c r="H96" s="81"/>
      <c r="I96" s="81"/>
      <c r="J96" s="81"/>
      <c r="K96" s="7"/>
      <c r="L96" s="7"/>
      <c r="M96" s="7"/>
      <c r="N96" s="7"/>
      <c r="O96" s="120"/>
      <c r="P96" s="120"/>
      <c r="Q96" s="120"/>
      <c r="R96" s="81">
        <f>E96*F96*G96</f>
        <v>13608</v>
      </c>
      <c r="S96" s="128"/>
      <c r="T96"/>
      <c r="U96" s="380"/>
      <c r="V96" s="8">
        <f t="shared" si="21"/>
        <v>13608</v>
      </c>
      <c r="W96" s="380"/>
      <c r="X96" s="380"/>
      <c r="Y96" s="380"/>
      <c r="Z96" s="1375"/>
      <c r="AA96" s="4"/>
      <c r="AB96" s="4"/>
      <c r="AC96" s="4"/>
    </row>
    <row r="97" spans="1:29" s="2" customFormat="1" ht="15" customHeight="1" thickBot="1" x14ac:dyDescent="0.3">
      <c r="A97" s="234" t="s">
        <v>57</v>
      </c>
      <c r="B97" s="122"/>
      <c r="C97" s="122"/>
      <c r="D97" s="122"/>
      <c r="E97" s="122"/>
      <c r="F97" s="122"/>
      <c r="G97" s="122"/>
      <c r="H97" s="122"/>
      <c r="I97" s="122"/>
      <c r="J97" s="122"/>
      <c r="K97" s="122"/>
      <c r="L97" s="122"/>
      <c r="M97" s="122"/>
      <c r="N97" s="123"/>
      <c r="O97" s="124"/>
      <c r="P97" s="124"/>
      <c r="Q97" s="124"/>
      <c r="R97" s="125">
        <f>SUM(R93:R96)</f>
        <v>16728</v>
      </c>
      <c r="S97" s="657"/>
      <c r="U97" s="380"/>
      <c r="V97" s="1363">
        <f>SUM(V93:V96)</f>
        <v>16728</v>
      </c>
      <c r="W97" s="4"/>
      <c r="X97" s="4"/>
      <c r="Y97" s="4"/>
      <c r="Z97" s="1369"/>
      <c r="AA97" s="4"/>
      <c r="AB97" s="4"/>
      <c r="AC97" s="4"/>
    </row>
    <row r="98" spans="1:29" s="2" customFormat="1" ht="15" customHeight="1" thickBot="1" x14ac:dyDescent="0.3">
      <c r="A98" s="235"/>
      <c r="B98" s="127"/>
      <c r="C98" s="127"/>
      <c r="D98" s="127"/>
      <c r="E98" s="127"/>
      <c r="F98" s="127"/>
      <c r="G98" s="127"/>
      <c r="H98" s="127"/>
      <c r="I98" s="127"/>
      <c r="J98" s="127"/>
      <c r="K98" s="127"/>
      <c r="L98" s="127"/>
      <c r="M98" s="127"/>
      <c r="N98" s="127"/>
      <c r="O98" s="127"/>
      <c r="P98" s="127"/>
      <c r="Q98" s="127"/>
      <c r="R98" s="128"/>
      <c r="S98" s="657"/>
      <c r="U98" s="380"/>
      <c r="V98" s="4"/>
      <c r="W98" s="4"/>
      <c r="X98" s="4"/>
      <c r="Y98" s="4"/>
      <c r="Z98" s="1369"/>
      <c r="AA98" s="4"/>
      <c r="AB98" s="4"/>
      <c r="AC98" s="4"/>
    </row>
    <row r="99" spans="1:29" s="2" customFormat="1" ht="15" customHeight="1" x14ac:dyDescent="0.25">
      <c r="A99" s="555" t="s">
        <v>644</v>
      </c>
      <c r="B99" s="1315"/>
      <c r="C99" s="1315"/>
      <c r="D99" s="1315"/>
      <c r="E99" s="1315"/>
      <c r="F99" s="1316"/>
      <c r="G99" s="1317"/>
      <c r="H99" s="1317"/>
      <c r="I99" s="1317"/>
      <c r="J99" s="1317"/>
      <c r="K99" s="1315"/>
      <c r="L99" s="1315"/>
      <c r="M99" s="1315"/>
      <c r="N99" s="1315"/>
      <c r="O99" s="1318"/>
      <c r="P99" s="1318"/>
      <c r="Q99" s="1318"/>
      <c r="R99" s="1319" t="s">
        <v>58</v>
      </c>
      <c r="S99" s="657"/>
      <c r="U99" s="380"/>
      <c r="V99" s="8"/>
      <c r="W99" s="4"/>
      <c r="X99" s="4"/>
      <c r="Y99" s="4"/>
      <c r="Z99" s="1369"/>
      <c r="AA99" s="4"/>
      <c r="AB99" s="4"/>
      <c r="AC99" s="4"/>
    </row>
    <row r="100" spans="1:29" s="2" customFormat="1" ht="18" customHeight="1" x14ac:dyDescent="0.25">
      <c r="A100" s="231" t="s">
        <v>645</v>
      </c>
      <c r="B100" s="4"/>
      <c r="C100" s="4"/>
      <c r="D100" s="4"/>
      <c r="E100" s="4"/>
      <c r="F100" s="267">
        <v>50</v>
      </c>
      <c r="G100" s="8">
        <v>15</v>
      </c>
      <c r="H100" s="8"/>
      <c r="I100" s="8"/>
      <c r="J100" s="8"/>
      <c r="K100" s="4"/>
      <c r="L100" s="4"/>
      <c r="M100" s="4"/>
      <c r="N100" s="4"/>
      <c r="O100" s="1320"/>
      <c r="P100" s="1320"/>
      <c r="Q100" s="1320"/>
      <c r="R100" s="1321">
        <f t="shared" ref="R100:R106" si="22">F100*G100</f>
        <v>750</v>
      </c>
      <c r="S100" s="657"/>
      <c r="U100" s="380"/>
      <c r="V100" s="8">
        <f t="shared" ref="V100:V108" si="23">R100</f>
        <v>750</v>
      </c>
      <c r="W100" s="4"/>
      <c r="X100" s="4"/>
      <c r="Y100" s="4"/>
      <c r="Z100" s="1369"/>
      <c r="AA100" s="4"/>
      <c r="AB100" s="4"/>
      <c r="AC100" s="4"/>
    </row>
    <row r="101" spans="1:29" s="2" customFormat="1" ht="18" customHeight="1" x14ac:dyDescent="0.25">
      <c r="A101" s="231" t="s">
        <v>646</v>
      </c>
      <c r="B101" s="4"/>
      <c r="C101" s="4"/>
      <c r="D101" s="4"/>
      <c r="E101" s="4"/>
      <c r="F101" s="267">
        <v>500</v>
      </c>
      <c r="G101" s="8">
        <v>1.5</v>
      </c>
      <c r="H101" s="8"/>
      <c r="I101" s="8"/>
      <c r="J101" s="8"/>
      <c r="K101" s="4"/>
      <c r="L101" s="4"/>
      <c r="M101" s="4"/>
      <c r="N101" s="4"/>
      <c r="O101" s="1320"/>
      <c r="P101" s="1320"/>
      <c r="Q101" s="1320"/>
      <c r="R101" s="1321">
        <f t="shared" si="22"/>
        <v>750</v>
      </c>
      <c r="S101" s="657"/>
      <c r="U101" s="380"/>
      <c r="V101" s="8">
        <f t="shared" si="23"/>
        <v>750</v>
      </c>
      <c r="W101" s="4"/>
      <c r="X101" s="4"/>
      <c r="Y101" s="4"/>
      <c r="Z101" s="1369"/>
      <c r="AA101" s="4"/>
      <c r="AB101" s="4"/>
      <c r="AC101" s="4"/>
    </row>
    <row r="102" spans="1:29" s="2" customFormat="1" ht="18" customHeight="1" x14ac:dyDescent="0.25">
      <c r="A102" s="231" t="s">
        <v>647</v>
      </c>
      <c r="B102" s="4"/>
      <c r="C102" s="4"/>
      <c r="D102" s="4"/>
      <c r="E102" s="4"/>
      <c r="F102" s="267">
        <v>500</v>
      </c>
      <c r="G102" s="8">
        <v>1.5</v>
      </c>
      <c r="H102" s="8"/>
      <c r="I102" s="8"/>
      <c r="J102" s="8"/>
      <c r="K102" s="4"/>
      <c r="L102" s="4"/>
      <c r="M102" s="4"/>
      <c r="N102" s="4"/>
      <c r="O102" s="1320"/>
      <c r="P102" s="1320"/>
      <c r="Q102" s="1320"/>
      <c r="R102" s="1321">
        <f t="shared" si="22"/>
        <v>750</v>
      </c>
      <c r="S102" s="657"/>
      <c r="U102" s="380"/>
      <c r="V102" s="8">
        <f t="shared" si="23"/>
        <v>750</v>
      </c>
      <c r="W102" s="4"/>
      <c r="X102" s="4"/>
      <c r="Y102" s="4"/>
      <c r="Z102" s="1369"/>
      <c r="AA102" s="4"/>
      <c r="AB102" s="4"/>
      <c r="AC102" s="4"/>
    </row>
    <row r="103" spans="1:29" ht="18" customHeight="1" x14ac:dyDescent="0.25">
      <c r="A103" s="231" t="s">
        <v>648</v>
      </c>
      <c r="B103" s="4"/>
      <c r="C103" s="4"/>
      <c r="D103" s="4"/>
      <c r="E103" s="4"/>
      <c r="F103" s="267">
        <v>6000</v>
      </c>
      <c r="G103" s="8">
        <v>0.34</v>
      </c>
      <c r="H103" s="8"/>
      <c r="I103" s="8"/>
      <c r="J103" s="8"/>
      <c r="K103" s="4"/>
      <c r="L103" s="4"/>
      <c r="M103" s="4"/>
      <c r="N103" s="4"/>
      <c r="O103" s="1320"/>
      <c r="P103" s="1320"/>
      <c r="Q103" s="1320"/>
      <c r="R103" s="1321">
        <f t="shared" si="22"/>
        <v>2040.0000000000002</v>
      </c>
      <c r="S103" s="657"/>
      <c r="T103" s="2"/>
      <c r="U103" s="380"/>
      <c r="V103" s="8">
        <f t="shared" si="23"/>
        <v>2040.0000000000002</v>
      </c>
      <c r="W103" s="4"/>
      <c r="X103" s="4"/>
      <c r="Y103" s="4"/>
      <c r="Z103" s="1369"/>
      <c r="AA103" s="7"/>
      <c r="AB103" s="7"/>
      <c r="AC103" s="7"/>
    </row>
    <row r="104" spans="1:29" ht="18" customHeight="1" x14ac:dyDescent="0.25">
      <c r="A104" s="231" t="s">
        <v>649</v>
      </c>
      <c r="B104" s="4"/>
      <c r="C104" s="4"/>
      <c r="D104" s="4"/>
      <c r="E104" s="4"/>
      <c r="F104" s="267">
        <v>500</v>
      </c>
      <c r="G104" s="8">
        <v>7</v>
      </c>
      <c r="H104" s="8"/>
      <c r="I104" s="8"/>
      <c r="J104" s="8"/>
      <c r="K104" s="4"/>
      <c r="L104" s="4"/>
      <c r="M104" s="4"/>
      <c r="N104" s="4"/>
      <c r="O104" s="1320"/>
      <c r="P104" s="1320"/>
      <c r="Q104" s="1320"/>
      <c r="R104" s="1321">
        <f t="shared" si="22"/>
        <v>3500</v>
      </c>
      <c r="S104" s="110"/>
      <c r="U104" s="7"/>
      <c r="V104" s="81">
        <f t="shared" si="23"/>
        <v>3500</v>
      </c>
      <c r="W104" s="81"/>
      <c r="X104" s="81"/>
      <c r="Y104" s="81"/>
      <c r="Z104" s="1376"/>
      <c r="AA104" s="7"/>
      <c r="AB104" s="81"/>
      <c r="AC104" s="7"/>
    </row>
    <row r="105" spans="1:29" ht="18" customHeight="1" x14ac:dyDescent="0.25">
      <c r="A105" s="231" t="s">
        <v>650</v>
      </c>
      <c r="B105" s="4"/>
      <c r="C105" s="4"/>
      <c r="D105" s="4"/>
      <c r="E105" s="4"/>
      <c r="F105" s="267">
        <v>500</v>
      </c>
      <c r="G105" s="8">
        <v>4</v>
      </c>
      <c r="H105" s="8"/>
      <c r="I105" s="8"/>
      <c r="J105" s="8"/>
      <c r="K105" s="4"/>
      <c r="L105" s="4"/>
      <c r="M105" s="4"/>
      <c r="N105" s="4"/>
      <c r="O105" s="1320"/>
      <c r="P105" s="1320"/>
      <c r="Q105" s="1320"/>
      <c r="R105" s="1321">
        <f t="shared" si="22"/>
        <v>2000</v>
      </c>
      <c r="S105" s="110"/>
      <c r="U105" s="7"/>
      <c r="V105" s="81">
        <f t="shared" si="23"/>
        <v>2000</v>
      </c>
      <c r="W105" s="81"/>
      <c r="X105" s="81"/>
      <c r="Y105" s="81"/>
      <c r="Z105" s="1376"/>
      <c r="AA105" s="7"/>
      <c r="AB105" s="7"/>
      <c r="AC105" s="7"/>
    </row>
    <row r="106" spans="1:29" ht="18" customHeight="1" x14ac:dyDescent="0.25">
      <c r="A106" s="231" t="s">
        <v>651</v>
      </c>
      <c r="B106" s="4"/>
      <c r="C106" s="4"/>
      <c r="D106" s="4"/>
      <c r="E106" s="4"/>
      <c r="F106" s="267">
        <v>7</v>
      </c>
      <c r="G106" s="8">
        <v>500</v>
      </c>
      <c r="H106" s="8"/>
      <c r="I106" s="8"/>
      <c r="J106" s="8"/>
      <c r="K106" s="4"/>
      <c r="L106" s="4"/>
      <c r="M106" s="4"/>
      <c r="N106" s="4"/>
      <c r="O106" s="1320"/>
      <c r="P106" s="1320"/>
      <c r="Q106" s="1320"/>
      <c r="R106" s="1321">
        <f t="shared" si="22"/>
        <v>3500</v>
      </c>
      <c r="S106" s="641"/>
      <c r="T106" s="106"/>
      <c r="U106" s="4"/>
      <c r="V106" s="1644">
        <f t="shared" si="23"/>
        <v>3500</v>
      </c>
      <c r="W106" s="1366"/>
      <c r="X106" s="110"/>
      <c r="Y106" s="110"/>
      <c r="Z106" s="110"/>
      <c r="AA106" s="7"/>
      <c r="AB106" s="7"/>
      <c r="AC106" s="7"/>
    </row>
    <row r="107" spans="1:29" ht="18" customHeight="1" x14ac:dyDescent="0.25">
      <c r="A107" s="557" t="s">
        <v>151</v>
      </c>
      <c r="B107" s="139"/>
      <c r="C107" s="7"/>
      <c r="D107" s="7"/>
      <c r="E107" s="7">
        <v>3</v>
      </c>
      <c r="F107" s="119">
        <v>20</v>
      </c>
      <c r="G107" s="81">
        <v>8</v>
      </c>
      <c r="H107" s="81"/>
      <c r="I107" s="81"/>
      <c r="J107" s="81"/>
      <c r="K107" s="7"/>
      <c r="L107" s="7"/>
      <c r="M107" s="7"/>
      <c r="N107" s="7"/>
      <c r="O107" s="138"/>
      <c r="P107" s="138"/>
      <c r="Q107" s="138"/>
      <c r="R107" s="1321">
        <f>E107*F107*G107</f>
        <v>480</v>
      </c>
      <c r="S107" s="110"/>
      <c r="U107" s="4"/>
      <c r="V107" s="8">
        <f t="shared" si="23"/>
        <v>480</v>
      </c>
      <c r="W107" s="8"/>
      <c r="X107" s="8"/>
      <c r="Y107" s="8"/>
      <c r="Z107" s="1372"/>
      <c r="AA107" s="7"/>
      <c r="AB107" s="7"/>
      <c r="AC107" s="7"/>
    </row>
    <row r="108" spans="1:29" ht="18" customHeight="1" thickBot="1" x14ac:dyDescent="0.3">
      <c r="A108" s="558" t="s">
        <v>403</v>
      </c>
      <c r="B108" s="139"/>
      <c r="C108" s="7"/>
      <c r="D108" s="7"/>
      <c r="E108" s="7"/>
      <c r="F108" s="119"/>
      <c r="G108" s="81">
        <v>1100</v>
      </c>
      <c r="H108" s="81"/>
      <c r="I108" s="81"/>
      <c r="J108" s="81"/>
      <c r="K108" s="7"/>
      <c r="L108" s="7"/>
      <c r="M108" s="7"/>
      <c r="N108" s="7"/>
      <c r="O108" s="138"/>
      <c r="P108" s="138"/>
      <c r="Q108" s="138"/>
      <c r="R108" s="1321">
        <f>G108</f>
        <v>1100</v>
      </c>
      <c r="S108" s="658"/>
      <c r="T108" s="106"/>
      <c r="U108" s="2"/>
      <c r="V108" s="1645">
        <f t="shared" si="23"/>
        <v>1100</v>
      </c>
      <c r="W108" s="1364"/>
      <c r="X108" s="1364"/>
      <c r="Y108" s="1364"/>
      <c r="Z108" s="1377"/>
      <c r="AA108" s="7"/>
      <c r="AB108" s="7"/>
      <c r="AC108" s="7"/>
    </row>
    <row r="109" spans="1:29" ht="20.100000000000001" customHeight="1" thickBot="1" x14ac:dyDescent="0.3">
      <c r="A109" s="556" t="s">
        <v>19</v>
      </c>
      <c r="B109" s="140"/>
      <c r="C109" s="140"/>
      <c r="D109" s="140"/>
      <c r="E109" s="140"/>
      <c r="F109" s="141"/>
      <c r="G109" s="142"/>
      <c r="H109" s="142"/>
      <c r="I109" s="142"/>
      <c r="J109" s="142"/>
      <c r="K109" s="140"/>
      <c r="L109" s="140"/>
      <c r="M109" s="140"/>
      <c r="N109" s="140"/>
      <c r="O109" s="143"/>
      <c r="P109" s="143"/>
      <c r="Q109" s="143"/>
      <c r="R109" s="144">
        <f>SUM(R100:R108)</f>
        <v>14870</v>
      </c>
      <c r="S109" s="659"/>
      <c r="T109" s="106">
        <f>AC110+AB109+AA109+Z109+Y109+X109+W109+V109+U109</f>
        <v>1720489.5681240605</v>
      </c>
      <c r="U109" s="948">
        <f>U78</f>
        <v>1422519.5681240605</v>
      </c>
      <c r="V109" s="1367">
        <f>SUM(V100:V108)</f>
        <v>14870</v>
      </c>
      <c r="W109" s="1367">
        <f>W88</f>
        <v>84000</v>
      </c>
      <c r="X109" s="1367">
        <f>X88</f>
        <v>135000</v>
      </c>
      <c r="Y109" s="1367">
        <f>Y88</f>
        <v>9900</v>
      </c>
      <c r="Z109" s="1378">
        <f>Z88</f>
        <v>10500</v>
      </c>
      <c r="AA109" s="1379">
        <f>Z88</f>
        <v>10500</v>
      </c>
      <c r="AB109" s="1646">
        <f>AB88</f>
        <v>3200</v>
      </c>
      <c r="AC109" s="7"/>
    </row>
    <row r="110" spans="1:29" ht="28.5" customHeight="1" thickBot="1" x14ac:dyDescent="0.3">
      <c r="A110" s="1322" t="s">
        <v>405</v>
      </c>
      <c r="B110" s="1323"/>
      <c r="C110" s="1323"/>
      <c r="D110" s="1323"/>
      <c r="E110" s="1323"/>
      <c r="F110" s="1324"/>
      <c r="G110" s="1325"/>
      <c r="H110" s="1325">
        <v>30000</v>
      </c>
      <c r="I110" s="1325"/>
      <c r="J110" s="1325"/>
      <c r="K110" s="1323"/>
      <c r="L110" s="1323"/>
      <c r="M110" s="1323"/>
      <c r="N110" s="1323"/>
      <c r="O110" s="1326"/>
      <c r="P110" s="1326"/>
      <c r="Q110" s="1326"/>
      <c r="R110" s="1647">
        <v>30000</v>
      </c>
      <c r="S110" s="655"/>
      <c r="T110" s="159"/>
      <c r="U110" s="1648"/>
      <c r="V110" s="254"/>
      <c r="W110" s="254"/>
      <c r="X110" s="254"/>
      <c r="Y110" s="254"/>
      <c r="Z110" s="1649"/>
      <c r="AA110" s="8"/>
      <c r="AB110" s="7"/>
      <c r="AC110" s="1363">
        <f>R110</f>
        <v>30000</v>
      </c>
    </row>
    <row r="111" spans="1:29" ht="26.45" customHeight="1" thickBot="1" x14ac:dyDescent="0.3">
      <c r="A111" s="549" t="s">
        <v>59</v>
      </c>
      <c r="B111" s="145"/>
      <c r="C111" s="145"/>
      <c r="D111" s="145"/>
      <c r="E111" s="145"/>
      <c r="F111" s="145"/>
      <c r="G111" s="145"/>
      <c r="H111" s="145"/>
      <c r="I111" s="145"/>
      <c r="J111" s="145"/>
      <c r="K111" s="145"/>
      <c r="L111" s="145"/>
      <c r="M111" s="145"/>
      <c r="N111" s="145"/>
      <c r="O111" s="857"/>
      <c r="P111" s="857"/>
      <c r="Q111" s="857"/>
      <c r="R111" s="856">
        <f>R109+R97+R110</f>
        <v>61598</v>
      </c>
      <c r="S111" s="99"/>
      <c r="T111" s="180"/>
      <c r="U111" s="254"/>
      <c r="V111" s="7"/>
      <c r="W111" s="160"/>
      <c r="X111" s="160"/>
      <c r="Y111" s="160"/>
      <c r="Z111" s="365"/>
      <c r="AA111" s="7"/>
      <c r="AB111" s="7"/>
      <c r="AC111" s="7"/>
    </row>
    <row r="112" spans="1:29" ht="30" customHeight="1" thickBot="1" x14ac:dyDescent="0.3">
      <c r="A112" s="236" t="s">
        <v>60</v>
      </c>
      <c r="B112" s="149"/>
      <c r="C112" s="149"/>
      <c r="D112" s="149"/>
      <c r="E112" s="149"/>
      <c r="F112" s="150"/>
      <c r="G112" s="151"/>
      <c r="H112" s="151"/>
      <c r="I112" s="151"/>
      <c r="J112" s="151"/>
      <c r="K112" s="152"/>
      <c r="L112" s="149"/>
      <c r="M112" s="149"/>
      <c r="N112" s="149"/>
      <c r="O112" s="153"/>
      <c r="P112" s="153"/>
      <c r="Q112" s="153"/>
      <c r="R112" s="1650">
        <f>R111+R88+R79+500</f>
        <v>1737217.5681240605</v>
      </c>
      <c r="S112" s="660"/>
      <c r="T112" s="180">
        <f>SUM(U112:AC112)</f>
        <v>1737217.5681240605</v>
      </c>
      <c r="U112" s="1651">
        <f>U109</f>
        <v>1422519.5681240605</v>
      </c>
      <c r="V112" s="1652">
        <f>V109+V97</f>
        <v>31598</v>
      </c>
      <c r="W112" s="1651">
        <f>W88</f>
        <v>84000</v>
      </c>
      <c r="X112" s="1651">
        <f>X88</f>
        <v>135000</v>
      </c>
      <c r="Y112" s="1651">
        <f t="shared" ref="Y112:Z112" si="24">Y88</f>
        <v>9900</v>
      </c>
      <c r="Z112" s="1653">
        <f t="shared" si="24"/>
        <v>10500</v>
      </c>
      <c r="AA112" s="1654">
        <f>AA109</f>
        <v>10500</v>
      </c>
      <c r="AB112" s="943">
        <f>AB109</f>
        <v>3200</v>
      </c>
      <c r="AC112" s="81">
        <f>AC110</f>
        <v>30000</v>
      </c>
    </row>
    <row r="113" spans="1:30" ht="27" customHeight="1" x14ac:dyDescent="0.25">
      <c r="A113" s="237" t="s">
        <v>61</v>
      </c>
      <c r="B113" s="156"/>
      <c r="C113" s="156"/>
      <c r="D113" s="156"/>
      <c r="E113" s="156"/>
      <c r="F113" s="156"/>
      <c r="G113" s="156"/>
      <c r="H113" s="156"/>
      <c r="I113" s="156"/>
      <c r="J113" s="156"/>
      <c r="K113" s="157"/>
      <c r="L113" s="156"/>
      <c r="M113" s="156"/>
      <c r="N113" s="156"/>
      <c r="O113" s="158"/>
      <c r="P113" s="158"/>
      <c r="Q113" s="158"/>
      <c r="R113" s="158"/>
      <c r="S113" s="661"/>
      <c r="T113" s="171"/>
      <c r="U113" s="1423">
        <f>U112*4.2%</f>
        <v>59745.821861210548</v>
      </c>
      <c r="V113" s="1423">
        <f t="shared" ref="V113:AB113" si="25">V112*4%</f>
        <v>1263.92</v>
      </c>
      <c r="W113" s="1423">
        <f>W112*3%</f>
        <v>2520</v>
      </c>
      <c r="X113" s="1423">
        <f t="shared" si="25"/>
        <v>5400</v>
      </c>
      <c r="Y113" s="1423">
        <f t="shared" si="25"/>
        <v>396</v>
      </c>
      <c r="Z113" s="1423">
        <f t="shared" si="25"/>
        <v>420</v>
      </c>
      <c r="AA113" s="171">
        <f t="shared" si="25"/>
        <v>420</v>
      </c>
      <c r="AB113" s="180">
        <f t="shared" si="25"/>
        <v>128</v>
      </c>
      <c r="AC113" s="171">
        <f>AC112</f>
        <v>30000</v>
      </c>
      <c r="AD113" s="106"/>
    </row>
    <row r="114" spans="1:30" ht="29.25" customHeight="1" x14ac:dyDescent="0.3">
      <c r="A114" s="238" t="s">
        <v>62</v>
      </c>
      <c r="B114" s="283">
        <v>0.04</v>
      </c>
      <c r="C114" s="7"/>
      <c r="D114" s="7"/>
      <c r="E114" s="7"/>
      <c r="F114" s="7"/>
      <c r="G114" s="160">
        <f>R112</f>
        <v>1737217.5681240605</v>
      </c>
      <c r="H114" s="160"/>
      <c r="I114" s="160"/>
      <c r="J114" s="160"/>
      <c r="K114" s="7"/>
      <c r="L114" s="7"/>
      <c r="M114" s="7"/>
      <c r="N114" s="7"/>
      <c r="O114" s="161"/>
      <c r="P114" s="161"/>
      <c r="Q114" s="161"/>
      <c r="R114" s="162">
        <f>(G114*B114)+0.001</f>
        <v>69488.703724962426</v>
      </c>
      <c r="S114" s="662"/>
      <c r="T114" s="171"/>
      <c r="U114" s="634">
        <f>U112+U113</f>
        <v>1482265.389985271</v>
      </c>
      <c r="V114" s="634">
        <f t="shared" ref="V114:AB114" si="26">V112+V113</f>
        <v>32861.919999999998</v>
      </c>
      <c r="W114" s="634">
        <f t="shared" si="26"/>
        <v>86520</v>
      </c>
      <c r="X114" s="634">
        <f t="shared" si="26"/>
        <v>140400</v>
      </c>
      <c r="Y114" s="634">
        <f t="shared" si="26"/>
        <v>10296</v>
      </c>
      <c r="Z114" s="634">
        <f t="shared" si="26"/>
        <v>10920</v>
      </c>
      <c r="AA114" s="634">
        <f t="shared" si="26"/>
        <v>10920</v>
      </c>
      <c r="AB114" s="634">
        <f t="shared" si="26"/>
        <v>3328</v>
      </c>
      <c r="AC114" s="634"/>
    </row>
    <row r="115" spans="1:30" ht="26.25" customHeight="1" x14ac:dyDescent="0.25">
      <c r="A115" s="232" t="s">
        <v>20</v>
      </c>
      <c r="B115" s="283">
        <v>0.04</v>
      </c>
      <c r="C115" s="7"/>
      <c r="D115" s="7"/>
      <c r="E115" s="7"/>
      <c r="F115" s="7"/>
      <c r="G115" s="160">
        <f>(R112+R114)</f>
        <v>1806706.2718490229</v>
      </c>
      <c r="H115" s="160"/>
      <c r="I115" s="160"/>
      <c r="J115" s="160"/>
      <c r="K115" s="7"/>
      <c r="L115" s="7"/>
      <c r="M115" s="7"/>
      <c r="N115" s="7"/>
      <c r="O115" s="80"/>
      <c r="P115" s="80"/>
      <c r="Q115" s="80"/>
      <c r="R115" s="160">
        <f>(G115*B115)</f>
        <v>72268.250873960918</v>
      </c>
      <c r="S115" s="660"/>
      <c r="T115" s="171"/>
      <c r="U115" s="634">
        <f>U114*4.011%</f>
        <v>59453.664792309224</v>
      </c>
      <c r="V115" s="634">
        <f>V114*4.03%+11</f>
        <v>1335.335376</v>
      </c>
      <c r="W115" s="634">
        <f>W114*1%</f>
        <v>865.2</v>
      </c>
      <c r="X115" s="634">
        <f>X114*5%</f>
        <v>7020</v>
      </c>
      <c r="Y115" s="634">
        <f>Y114*8%+4-0.48</f>
        <v>827.2</v>
      </c>
      <c r="Z115" s="634">
        <f>Z114*8%</f>
        <v>873.6</v>
      </c>
      <c r="AA115" s="634">
        <f>AA114*3%</f>
        <v>327.59999999999997</v>
      </c>
      <c r="AB115" s="634">
        <f>AB114*4%+0.08</f>
        <v>133.20000000000002</v>
      </c>
      <c r="AC115" s="163"/>
    </row>
    <row r="116" spans="1:30" ht="15.75" thickBot="1" x14ac:dyDescent="0.3">
      <c r="A116" s="240" t="s">
        <v>21</v>
      </c>
      <c r="B116" s="168"/>
      <c r="C116" s="168"/>
      <c r="D116" s="168"/>
      <c r="E116" s="168"/>
      <c r="F116" s="168"/>
      <c r="G116" s="168"/>
      <c r="H116" s="168"/>
      <c r="I116" s="168"/>
      <c r="J116" s="168"/>
      <c r="K116" s="168"/>
      <c r="L116" s="168"/>
      <c r="M116" s="168"/>
      <c r="N116" s="168"/>
      <c r="O116" s="169"/>
      <c r="P116" s="169"/>
      <c r="Q116" s="169"/>
      <c r="R116" s="170">
        <f>SUM(R114:R115)</f>
        <v>141756.95459892333</v>
      </c>
      <c r="S116" s="663"/>
      <c r="T116" s="171">
        <f>SUM(U116:AC116)</f>
        <v>1877216.7101535802</v>
      </c>
      <c r="U116" s="910">
        <f>U114+U115</f>
        <v>1541719.0547775803</v>
      </c>
      <c r="V116" s="910">
        <f t="shared" ref="V116:Y116" si="27">V114+V115</f>
        <v>34197.255376000001</v>
      </c>
      <c r="W116" s="1655">
        <v>87500</v>
      </c>
      <c r="X116" s="1655">
        <f t="shared" si="27"/>
        <v>147420</v>
      </c>
      <c r="Y116" s="1655">
        <f t="shared" si="27"/>
        <v>11123.2</v>
      </c>
      <c r="Z116" s="1655">
        <f>Z114+Z115+2.4</f>
        <v>11796</v>
      </c>
      <c r="AA116" s="1655">
        <v>10000</v>
      </c>
      <c r="AB116" s="1655">
        <f>SUM(AB114:AB115)</f>
        <v>3461.2</v>
      </c>
      <c r="AC116" s="106">
        <f>AC113</f>
        <v>30000</v>
      </c>
    </row>
    <row r="117" spans="1:30" ht="30.75" customHeight="1" thickTop="1" thickBot="1" x14ac:dyDescent="0.35">
      <c r="A117" s="241" t="s">
        <v>22</v>
      </c>
      <c r="B117" s="173"/>
      <c r="C117" s="173"/>
      <c r="D117" s="173"/>
      <c r="E117" s="173"/>
      <c r="F117" s="173"/>
      <c r="G117" s="173"/>
      <c r="H117" s="173"/>
      <c r="I117" s="173"/>
      <c r="J117" s="173"/>
      <c r="K117" s="173"/>
      <c r="L117" s="173"/>
      <c r="M117" s="173"/>
      <c r="N117" s="173"/>
      <c r="O117" s="174"/>
      <c r="P117" s="174"/>
      <c r="Q117" s="174"/>
      <c r="R117" s="175">
        <f>R90+R111+R116-0.01</f>
        <v>1878474.5127229837</v>
      </c>
      <c r="T117" s="171"/>
      <c r="U117" s="184"/>
      <c r="V117" s="106"/>
      <c r="W117" s="544"/>
      <c r="X117" s="106"/>
      <c r="Y117" s="106"/>
      <c r="Z117" s="106"/>
      <c r="AA117" s="2"/>
      <c r="AB117" s="106"/>
    </row>
    <row r="118" spans="1:30" ht="25.5" customHeight="1" thickTop="1" x14ac:dyDescent="0.25">
      <c r="A118" s="216" t="s">
        <v>63</v>
      </c>
      <c r="B118" s="179">
        <v>0.1</v>
      </c>
      <c r="G118" s="20">
        <f>R117</f>
        <v>1878474.5127229837</v>
      </c>
      <c r="H118" s="20"/>
      <c r="I118" s="20"/>
      <c r="J118" s="20"/>
      <c r="O118" s="180"/>
      <c r="P118" s="180"/>
      <c r="Q118" s="180"/>
      <c r="R118" s="160">
        <f>R117*B118</f>
        <v>187847.45127229838</v>
      </c>
      <c r="S118" s="110"/>
      <c r="V118" s="951"/>
      <c r="W118" s="1656">
        <f>W116/350</f>
        <v>250</v>
      </c>
      <c r="X118">
        <f>250*350</f>
        <v>87500</v>
      </c>
      <c r="Z118" s="202"/>
    </row>
    <row r="119" spans="1:30" ht="18.75" customHeight="1" x14ac:dyDescent="0.25">
      <c r="A119" s="242" t="s">
        <v>23</v>
      </c>
      <c r="B119" s="181"/>
      <c r="C119" s="181"/>
      <c r="D119" s="181"/>
      <c r="E119" s="181"/>
      <c r="F119" s="181"/>
      <c r="G119" s="181"/>
      <c r="H119" s="181"/>
      <c r="I119" s="181"/>
      <c r="J119" s="181"/>
      <c r="K119" s="181"/>
      <c r="L119" s="181"/>
      <c r="M119" s="181"/>
      <c r="N119" s="181"/>
      <c r="O119" s="182"/>
      <c r="P119" s="182"/>
      <c r="Q119" s="182"/>
      <c r="R119" s="183">
        <f>R117+R118</f>
        <v>2066321.9639952821</v>
      </c>
      <c r="T119" s="1657"/>
      <c r="U119" t="s">
        <v>64</v>
      </c>
      <c r="V119" s="1658">
        <v>1577174.1127229836</v>
      </c>
      <c r="W119" s="1040"/>
      <c r="X119" s="1659"/>
      <c r="Y119" s="106"/>
      <c r="Z119" s="189"/>
    </row>
    <row r="120" spans="1:30" x14ac:dyDescent="0.25">
      <c r="J120" s="20"/>
      <c r="T120" s="950"/>
      <c r="U120" s="950" t="s">
        <v>695</v>
      </c>
      <c r="V120" s="1660">
        <v>87500</v>
      </c>
      <c r="W120" s="1661">
        <v>250</v>
      </c>
      <c r="X120" s="106">
        <f>8*40</f>
        <v>320</v>
      </c>
      <c r="Y120" s="106">
        <f>X120*350</f>
        <v>112000</v>
      </c>
    </row>
    <row r="121" spans="1:30" x14ac:dyDescent="0.25">
      <c r="O121" s="20"/>
      <c r="P121" s="20"/>
      <c r="Q121" s="20"/>
      <c r="R121" s="106"/>
      <c r="T121" s="1662"/>
      <c r="U121" s="198" t="s">
        <v>132</v>
      </c>
      <c r="V121" s="1663">
        <v>11123.2</v>
      </c>
      <c r="W121" s="106">
        <f>V121/220</f>
        <v>50.56</v>
      </c>
      <c r="X121" s="106"/>
    </row>
    <row r="122" spans="1:30" x14ac:dyDescent="0.25">
      <c r="E122" t="s">
        <v>64</v>
      </c>
      <c r="F122" s="192">
        <v>1577174.1127229836</v>
      </c>
      <c r="G122" s="192"/>
      <c r="O122" s="186"/>
      <c r="P122" s="186"/>
      <c r="Q122" s="186"/>
      <c r="U122" t="s">
        <v>133</v>
      </c>
      <c r="V122" s="1664">
        <v>11796</v>
      </c>
      <c r="W122" s="106">
        <f>V122/300</f>
        <v>39.32</v>
      </c>
      <c r="X122">
        <f>250*350</f>
        <v>87500</v>
      </c>
    </row>
    <row r="123" spans="1:30" x14ac:dyDescent="0.25">
      <c r="E123" t="s">
        <v>695</v>
      </c>
      <c r="F123" s="192">
        <v>87500</v>
      </c>
      <c r="G123" s="1665">
        <v>250</v>
      </c>
      <c r="H123" s="190"/>
      <c r="I123" s="190"/>
      <c r="L123" s="186"/>
      <c r="M123" s="186"/>
      <c r="N123" s="20"/>
      <c r="U123" t="s">
        <v>696</v>
      </c>
      <c r="V123" s="1664">
        <v>147420</v>
      </c>
      <c r="W123" s="106">
        <v>1000</v>
      </c>
      <c r="X123" s="106"/>
      <c r="Y123" s="106"/>
      <c r="Z123" s="106"/>
    </row>
    <row r="124" spans="1:30" x14ac:dyDescent="0.25">
      <c r="E124" t="s">
        <v>132</v>
      </c>
      <c r="F124" s="192">
        <v>11123.2</v>
      </c>
      <c r="G124" s="192">
        <v>50.56</v>
      </c>
      <c r="H124" s="192"/>
      <c r="I124" s="192"/>
      <c r="J124" s="194"/>
      <c r="K124" s="195"/>
      <c r="N124" s="196"/>
      <c r="O124" s="197"/>
      <c r="P124" s="197"/>
      <c r="Q124" s="197"/>
      <c r="U124" t="s">
        <v>667</v>
      </c>
      <c r="V124" s="1666">
        <v>10000</v>
      </c>
      <c r="W124" s="106">
        <f>V124/20</f>
        <v>500</v>
      </c>
    </row>
    <row r="125" spans="1:30" x14ac:dyDescent="0.25">
      <c r="E125" s="195" t="s">
        <v>133</v>
      </c>
      <c r="F125" s="192">
        <v>11796</v>
      </c>
      <c r="G125" s="192">
        <v>39.32</v>
      </c>
      <c r="H125" s="199"/>
      <c r="I125" s="199"/>
      <c r="J125" s="179"/>
      <c r="K125" s="194"/>
      <c r="U125" t="s">
        <v>664</v>
      </c>
      <c r="V125" s="1666">
        <v>3461.2</v>
      </c>
      <c r="X125" s="20"/>
    </row>
    <row r="126" spans="1:30" x14ac:dyDescent="0.25">
      <c r="E126" t="s">
        <v>696</v>
      </c>
      <c r="F126" s="192">
        <v>147420</v>
      </c>
      <c r="G126" s="192">
        <v>1000</v>
      </c>
      <c r="H126" s="192"/>
      <c r="I126" s="192"/>
      <c r="J126" s="201"/>
      <c r="K126" s="194"/>
      <c r="N126" s="20"/>
      <c r="U126" t="s">
        <v>660</v>
      </c>
      <c r="V126" s="106">
        <v>30000</v>
      </c>
      <c r="W126" s="20"/>
    </row>
    <row r="127" spans="1:30" x14ac:dyDescent="0.25">
      <c r="E127" t="s">
        <v>667</v>
      </c>
      <c r="F127" s="192">
        <v>10000</v>
      </c>
      <c r="G127" s="192">
        <v>500</v>
      </c>
      <c r="H127" s="20"/>
      <c r="I127" s="20"/>
      <c r="K127" s="193"/>
      <c r="V127" s="1667">
        <f>SUM(V119:V126)</f>
        <v>1878474.5127229835</v>
      </c>
      <c r="W127" s="203"/>
    </row>
    <row r="128" spans="1:30" x14ac:dyDescent="0.25">
      <c r="E128" t="s">
        <v>664</v>
      </c>
      <c r="F128" s="192">
        <v>3461.2</v>
      </c>
      <c r="G128" s="192"/>
      <c r="H128" s="20"/>
      <c r="I128" s="20"/>
      <c r="K128" s="202"/>
      <c r="N128" s="203"/>
      <c r="V128" s="20"/>
    </row>
    <row r="129" spans="5:28" x14ac:dyDescent="0.25">
      <c r="E129" t="s">
        <v>660</v>
      </c>
      <c r="F129" s="192">
        <v>30000</v>
      </c>
      <c r="G129" s="192"/>
      <c r="H129" s="20"/>
      <c r="I129" s="20"/>
      <c r="J129" s="194"/>
      <c r="N129" s="194"/>
      <c r="V129" s="106"/>
    </row>
    <row r="130" spans="5:28" x14ac:dyDescent="0.25">
      <c r="G130" s="20"/>
      <c r="H130" s="20"/>
      <c r="I130" s="20"/>
      <c r="J130" s="202"/>
      <c r="S130" s="660"/>
      <c r="V130" s="20"/>
      <c r="AA130" s="106"/>
      <c r="AB130" s="193"/>
    </row>
    <row r="131" spans="5:28" x14ac:dyDescent="0.25">
      <c r="AA131" s="106"/>
      <c r="AB131" s="193"/>
    </row>
    <row r="132" spans="5:28" x14ac:dyDescent="0.25">
      <c r="G132" s="20"/>
      <c r="H132" s="20"/>
      <c r="I132" s="20"/>
      <c r="V132" s="20"/>
      <c r="AA132" s="106"/>
      <c r="AB132" s="193"/>
    </row>
    <row r="133" spans="5:28" x14ac:dyDescent="0.25">
      <c r="R133" s="20"/>
      <c r="AA133" s="106"/>
      <c r="AB133" s="193"/>
    </row>
  </sheetData>
  <sheetProtection sheet="1" objects="1" scenarios="1" selectLockedCells="1"/>
  <mergeCells count="3">
    <mergeCell ref="A1:T1"/>
    <mergeCell ref="A3:T3"/>
    <mergeCell ref="A4:T4"/>
  </mergeCells>
  <printOptions horizontalCentered="1"/>
  <pageMargins left="3.937007874015748E-2" right="0.23622047244094491" top="0.35433070866141736" bottom="0" header="0.31496062992125984" footer="0.11811023622047245"/>
  <pageSetup paperSize="8"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Z33"/>
  <sheetViews>
    <sheetView tabSelected="1" topLeftCell="B3" zoomScale="90" zoomScaleNormal="90" workbookViewId="0">
      <selection activeCell="H16" sqref="H16"/>
    </sheetView>
  </sheetViews>
  <sheetFormatPr defaultColWidth="10.5703125" defaultRowHeight="15" x14ac:dyDescent="0.25"/>
  <cols>
    <col min="1" max="1" width="10.5703125" style="957"/>
    <col min="2" max="2" width="57" style="957" customWidth="1"/>
    <col min="3" max="3" width="17.7109375" style="957" customWidth="1"/>
    <col min="4" max="5" width="15.140625" style="957" customWidth="1"/>
    <col min="6" max="6" width="17.5703125" style="957" bestFit="1" customWidth="1"/>
    <col min="7" max="7" width="25.42578125" style="957" customWidth="1"/>
    <col min="8" max="8" width="18.42578125" style="957" customWidth="1"/>
    <col min="9" max="9" width="10.5703125" style="957"/>
    <col min="10" max="10" width="12.28515625" style="957" customWidth="1"/>
    <col min="11" max="11" width="13.5703125" style="957" customWidth="1"/>
    <col min="12" max="12" width="15.28515625" style="957" bestFit="1" customWidth="1"/>
    <col min="13" max="13" width="17.5703125" style="957" customWidth="1"/>
    <col min="14" max="14" width="12.140625" style="957" bestFit="1" customWidth="1"/>
    <col min="15" max="15" width="15" style="958" bestFit="1" customWidth="1"/>
    <col min="16" max="16" width="14.28515625" style="957" bestFit="1" customWidth="1"/>
    <col min="17" max="17" width="16.140625" style="957" bestFit="1" customWidth="1"/>
    <col min="18" max="18" width="15.42578125" style="957" bestFit="1" customWidth="1"/>
    <col min="19" max="16384" width="10.5703125" style="957"/>
  </cols>
  <sheetData>
    <row r="1" spans="1:26" x14ac:dyDescent="0.25">
      <c r="A1" s="1702"/>
      <c r="B1" s="1702"/>
      <c r="C1" s="1702"/>
      <c r="D1" s="1702"/>
      <c r="E1" s="1702"/>
      <c r="F1" s="1702"/>
      <c r="G1" s="1702"/>
      <c r="H1" s="1702"/>
      <c r="I1" s="955"/>
      <c r="J1" s="955"/>
      <c r="K1" s="956"/>
    </row>
    <row r="2" spans="1:26" ht="30.95" customHeight="1" x14ac:dyDescent="0.5">
      <c r="A2" s="955"/>
      <c r="B2" s="1703" t="s">
        <v>699</v>
      </c>
      <c r="C2" s="1703"/>
      <c r="D2" s="1703"/>
      <c r="E2" s="1703"/>
      <c r="F2" s="1703"/>
      <c r="G2" s="1703"/>
      <c r="H2" s="1703"/>
      <c r="I2" s="1703"/>
      <c r="J2" s="955"/>
      <c r="K2" s="959"/>
      <c r="L2" s="959"/>
      <c r="M2" s="959"/>
      <c r="N2" s="959"/>
      <c r="O2" s="959"/>
      <c r="P2" s="959"/>
      <c r="Q2" s="959"/>
      <c r="R2" s="959"/>
      <c r="S2" s="959"/>
      <c r="T2" s="959"/>
      <c r="U2" s="959"/>
      <c r="V2" s="959"/>
      <c r="W2" s="959"/>
      <c r="X2" s="959"/>
      <c r="Y2" s="959"/>
      <c r="Z2" s="959"/>
    </row>
    <row r="3" spans="1:26" ht="23.45" customHeight="1" thickBot="1" x14ac:dyDescent="0.3">
      <c r="A3" s="955"/>
      <c r="B3" s="1704"/>
      <c r="C3" s="1704"/>
      <c r="D3" s="1704"/>
      <c r="E3" s="1704"/>
      <c r="F3" s="1704"/>
      <c r="G3" s="1704"/>
      <c r="H3" s="1704"/>
      <c r="I3" s="1704"/>
      <c r="J3" s="955"/>
    </row>
    <row r="4" spans="1:26" ht="18" x14ac:dyDescent="0.25">
      <c r="A4" s="955"/>
      <c r="B4" s="960"/>
      <c r="C4" s="961"/>
      <c r="D4" s="962"/>
      <c r="E4" s="962"/>
      <c r="F4" s="962"/>
      <c r="G4" s="963"/>
      <c r="H4" s="962"/>
      <c r="I4" s="964"/>
      <c r="J4" s="955"/>
      <c r="M4" s="965"/>
    </row>
    <row r="5" spans="1:26" ht="26.25" x14ac:dyDescent="0.4">
      <c r="A5" s="955"/>
      <c r="B5" s="1396" t="s">
        <v>698</v>
      </c>
      <c r="C5" s="966"/>
      <c r="D5" s="966"/>
      <c r="E5" s="966"/>
      <c r="F5" s="967"/>
      <c r="G5" s="1670" t="s">
        <v>709</v>
      </c>
      <c r="H5" s="1671" t="s">
        <v>708</v>
      </c>
      <c r="I5" s="968"/>
      <c r="J5" s="955"/>
    </row>
    <row r="6" spans="1:26" x14ac:dyDescent="0.25">
      <c r="A6" s="955"/>
      <c r="B6" s="969"/>
      <c r="C6" s="966"/>
      <c r="D6" s="966"/>
      <c r="E6" s="966"/>
      <c r="F6" s="967"/>
      <c r="G6" s="966"/>
      <c r="H6" s="966"/>
      <c r="I6" s="968"/>
      <c r="J6" s="955"/>
    </row>
    <row r="7" spans="1:26" x14ac:dyDescent="0.25">
      <c r="A7" s="955"/>
      <c r="B7" s="970" t="s">
        <v>527</v>
      </c>
      <c r="C7" s="971" t="s">
        <v>528</v>
      </c>
      <c r="D7" s="971" t="s">
        <v>529</v>
      </c>
      <c r="E7" s="971" t="s">
        <v>530</v>
      </c>
      <c r="F7" s="972" t="s">
        <v>531</v>
      </c>
      <c r="G7" s="971" t="s">
        <v>532</v>
      </c>
      <c r="H7" s="971" t="s">
        <v>533</v>
      </c>
      <c r="I7" s="968"/>
      <c r="J7" s="955"/>
      <c r="N7" s="965"/>
      <c r="P7" s="965"/>
    </row>
    <row r="8" spans="1:26" ht="26.25" customHeight="1" x14ac:dyDescent="0.25">
      <c r="A8" s="955"/>
      <c r="B8" s="1042" t="s">
        <v>534</v>
      </c>
      <c r="C8" s="973" t="s">
        <v>535</v>
      </c>
      <c r="D8" s="974">
        <v>1</v>
      </c>
      <c r="E8" s="975"/>
      <c r="F8" s="975">
        <v>47149.29</v>
      </c>
      <c r="G8" s="976"/>
      <c r="H8" s="975">
        <f>G8</f>
        <v>0</v>
      </c>
      <c r="I8" s="968"/>
      <c r="J8" s="955"/>
      <c r="N8" s="977"/>
      <c r="O8" s="978"/>
      <c r="P8" s="979"/>
      <c r="Q8" s="980"/>
    </row>
    <row r="9" spans="1:26" ht="18" customHeight="1" x14ac:dyDescent="0.25">
      <c r="A9" s="955"/>
      <c r="B9" s="981"/>
      <c r="C9" s="982"/>
      <c r="D9" s="1705" t="s">
        <v>536</v>
      </c>
      <c r="E9" s="1706"/>
      <c r="F9" s="983">
        <f>SUM(F8:F8)</f>
        <v>47149.29</v>
      </c>
      <c r="G9" s="984" t="s">
        <v>537</v>
      </c>
      <c r="H9" s="985">
        <f>SUM(H8)</f>
        <v>0</v>
      </c>
      <c r="I9" s="968"/>
      <c r="J9" s="955"/>
      <c r="K9" s="986"/>
      <c r="N9" s="977"/>
      <c r="Q9" s="987"/>
    </row>
    <row r="10" spans="1:26" x14ac:dyDescent="0.25">
      <c r="A10" s="955"/>
      <c r="B10" s="981"/>
      <c r="C10" s="982"/>
      <c r="D10" s="988"/>
      <c r="E10" s="988"/>
      <c r="F10" s="989"/>
      <c r="G10" s="990"/>
      <c r="H10" s="991"/>
      <c r="I10" s="968"/>
      <c r="J10" s="955"/>
      <c r="N10" s="992"/>
      <c r="O10" s="993"/>
      <c r="Q10" s="987"/>
    </row>
    <row r="11" spans="1:26" x14ac:dyDescent="0.25">
      <c r="A11" s="955"/>
      <c r="B11" s="1045" t="s">
        <v>538</v>
      </c>
      <c r="C11" s="982"/>
      <c r="D11" s="995"/>
      <c r="E11" s="995"/>
      <c r="F11" s="996"/>
      <c r="G11" s="997"/>
      <c r="H11" s="998"/>
      <c r="I11" s="968"/>
      <c r="J11" s="955"/>
      <c r="N11" s="999"/>
      <c r="O11" s="993"/>
    </row>
    <row r="12" spans="1:26" ht="21" customHeight="1" x14ac:dyDescent="0.25">
      <c r="A12" s="955"/>
      <c r="B12" s="1043" t="s">
        <v>700</v>
      </c>
      <c r="C12" s="1668" t="s">
        <v>702</v>
      </c>
      <c r="D12" s="1000">
        <v>110</v>
      </c>
      <c r="E12" s="1394">
        <v>59.89</v>
      </c>
      <c r="F12" s="975">
        <f>D12*E12</f>
        <v>6587.9</v>
      </c>
      <c r="G12" s="976"/>
      <c r="H12" s="975">
        <f>G12*D12</f>
        <v>0</v>
      </c>
      <c r="I12" s="968"/>
      <c r="J12" s="955"/>
      <c r="N12" s="999"/>
      <c r="O12" s="993"/>
    </row>
    <row r="13" spans="1:26" x14ac:dyDescent="0.25">
      <c r="A13" s="955"/>
      <c r="B13" s="1043" t="s">
        <v>701</v>
      </c>
      <c r="C13" s="1668" t="s">
        <v>702</v>
      </c>
      <c r="D13" s="1000">
        <v>55</v>
      </c>
      <c r="E13" s="1394">
        <v>79.099999999999994</v>
      </c>
      <c r="F13" s="975">
        <f t="shared" ref="F13:F18" si="0">D13*E13</f>
        <v>4350.5</v>
      </c>
      <c r="G13" s="976"/>
      <c r="H13" s="975">
        <f t="shared" ref="H13:H18" si="1">G13*D13</f>
        <v>0</v>
      </c>
      <c r="I13" s="968"/>
      <c r="J13" s="955"/>
      <c r="N13" s="999"/>
      <c r="O13" s="993"/>
    </row>
    <row r="14" spans="1:26" ht="20.25" customHeight="1" x14ac:dyDescent="0.25">
      <c r="A14" s="955"/>
      <c r="B14" s="1393" t="s">
        <v>703</v>
      </c>
      <c r="C14" s="1668" t="s">
        <v>702</v>
      </c>
      <c r="D14" s="1000">
        <v>10959</v>
      </c>
      <c r="E14" s="1394">
        <v>0.2</v>
      </c>
      <c r="F14" s="975">
        <f t="shared" si="0"/>
        <v>2191.8000000000002</v>
      </c>
      <c r="G14" s="976"/>
      <c r="H14" s="975">
        <f t="shared" si="1"/>
        <v>0</v>
      </c>
      <c r="I14" s="968"/>
      <c r="J14" s="955"/>
      <c r="N14" s="999"/>
      <c r="O14" s="993"/>
    </row>
    <row r="15" spans="1:26" ht="20.25" customHeight="1" x14ac:dyDescent="0.25">
      <c r="A15" s="955"/>
      <c r="B15" s="1393" t="s">
        <v>704</v>
      </c>
      <c r="C15" s="1668" t="s">
        <v>702</v>
      </c>
      <c r="D15" s="1000">
        <v>10959</v>
      </c>
      <c r="E15" s="1394">
        <v>0.28000000000000003</v>
      </c>
      <c r="F15" s="975">
        <f t="shared" si="0"/>
        <v>3068.5200000000004</v>
      </c>
      <c r="G15" s="976"/>
      <c r="H15" s="975">
        <f t="shared" si="1"/>
        <v>0</v>
      </c>
      <c r="I15" s="968"/>
      <c r="J15" s="955"/>
      <c r="N15" s="999"/>
      <c r="O15" s="993"/>
    </row>
    <row r="16" spans="1:26" ht="20.25" customHeight="1" x14ac:dyDescent="0.25">
      <c r="A16" s="955"/>
      <c r="B16" s="1393" t="s">
        <v>705</v>
      </c>
      <c r="C16" s="1668" t="s">
        <v>702</v>
      </c>
      <c r="D16" s="1000">
        <v>110</v>
      </c>
      <c r="E16" s="1394">
        <v>152.55000000000001</v>
      </c>
      <c r="F16" s="975">
        <f t="shared" si="0"/>
        <v>16780.5</v>
      </c>
      <c r="G16" s="976"/>
      <c r="H16" s="975">
        <f t="shared" si="1"/>
        <v>0</v>
      </c>
      <c r="I16" s="968"/>
      <c r="J16" s="955"/>
      <c r="N16" s="999"/>
      <c r="O16" s="993"/>
    </row>
    <row r="17" spans="1:15" ht="20.25" customHeight="1" x14ac:dyDescent="0.25">
      <c r="A17" s="955"/>
      <c r="B17" s="1393" t="s">
        <v>706</v>
      </c>
      <c r="C17" s="1668" t="s">
        <v>702</v>
      </c>
      <c r="D17" s="1000">
        <v>137</v>
      </c>
      <c r="E17" s="1394">
        <v>101.7</v>
      </c>
      <c r="F17" s="975">
        <f t="shared" si="0"/>
        <v>13932.9</v>
      </c>
      <c r="G17" s="976"/>
      <c r="H17" s="975">
        <f t="shared" si="1"/>
        <v>0</v>
      </c>
      <c r="I17" s="968"/>
      <c r="J17" s="955"/>
      <c r="N17" s="999"/>
      <c r="O17" s="993"/>
    </row>
    <row r="18" spans="1:15" ht="21.75" customHeight="1" x14ac:dyDescent="0.25">
      <c r="A18" s="955"/>
      <c r="B18" s="1044" t="s">
        <v>707</v>
      </c>
      <c r="C18" s="1668" t="s">
        <v>702</v>
      </c>
      <c r="D18" s="1000">
        <v>36</v>
      </c>
      <c r="E18" s="1394">
        <v>158.19999999999999</v>
      </c>
      <c r="F18" s="975">
        <f t="shared" si="0"/>
        <v>5695.2</v>
      </c>
      <c r="G18" s="976"/>
      <c r="H18" s="975">
        <f t="shared" si="1"/>
        <v>0</v>
      </c>
      <c r="I18" s="968"/>
      <c r="J18" s="955"/>
    </row>
    <row r="19" spans="1:15" ht="18" customHeight="1" x14ac:dyDescent="0.25">
      <c r="A19" s="955"/>
      <c r="B19" s="981"/>
      <c r="C19" s="1669"/>
      <c r="D19" s="1705" t="s">
        <v>539</v>
      </c>
      <c r="E19" s="1706"/>
      <c r="F19" s="983">
        <f>SUM(F12:F18)</f>
        <v>52607.32</v>
      </c>
      <c r="G19" s="984" t="s">
        <v>710</v>
      </c>
      <c r="H19" s="985">
        <f>SUM(H12:H18)</f>
        <v>0</v>
      </c>
      <c r="I19" s="968"/>
      <c r="J19" s="955"/>
      <c r="K19" s="986"/>
    </row>
    <row r="20" spans="1:15" ht="14.45" customHeight="1" x14ac:dyDescent="0.25">
      <c r="A20" s="955"/>
      <c r="B20" s="994"/>
      <c r="C20" s="982"/>
      <c r="D20" s="995"/>
      <c r="E20" s="995"/>
      <c r="F20" s="1001"/>
      <c r="G20" s="997"/>
      <c r="H20" s="998"/>
      <c r="I20" s="968"/>
      <c r="J20" s="955"/>
    </row>
    <row r="21" spans="1:15" ht="14.45" customHeight="1" x14ac:dyDescent="0.25">
      <c r="A21" s="955"/>
      <c r="B21" s="1002"/>
      <c r="C21" s="966"/>
      <c r="D21" s="995"/>
      <c r="E21" s="995"/>
      <c r="F21" s="1003"/>
      <c r="G21" s="966"/>
      <c r="H21" s="1004"/>
      <c r="I21" s="968"/>
      <c r="J21" s="955"/>
    </row>
    <row r="22" spans="1:15" ht="21" customHeight="1" x14ac:dyDescent="0.25">
      <c r="A22" s="955"/>
      <c r="B22" s="1002"/>
      <c r="C22" s="1695" t="s">
        <v>540</v>
      </c>
      <c r="D22" s="1696"/>
      <c r="E22" s="1697"/>
      <c r="F22" s="1005">
        <f>F9+F19</f>
        <v>99756.61</v>
      </c>
      <c r="G22" s="1006" t="s">
        <v>541</v>
      </c>
      <c r="H22" s="975">
        <f>H9+H19</f>
        <v>0</v>
      </c>
      <c r="I22" s="1007"/>
      <c r="J22" s="955"/>
      <c r="K22" s="1008"/>
      <c r="L22" s="1009"/>
      <c r="O22" s="957"/>
    </row>
    <row r="23" spans="1:15" ht="30" x14ac:dyDescent="0.25">
      <c r="A23" s="955"/>
      <c r="B23" s="1399" t="s">
        <v>697</v>
      </c>
      <c r="C23" s="1397" t="s">
        <v>665</v>
      </c>
      <c r="D23" s="1010"/>
      <c r="E23" s="1398">
        <v>0.1</v>
      </c>
      <c r="F23" s="1011">
        <f>F22*E23</f>
        <v>9975.6610000000001</v>
      </c>
      <c r="G23" s="1395">
        <v>0.1</v>
      </c>
      <c r="H23" s="975">
        <f>G23*H22</f>
        <v>0</v>
      </c>
      <c r="I23" s="1007"/>
      <c r="J23" s="955"/>
      <c r="O23" s="957"/>
    </row>
    <row r="24" spans="1:15" x14ac:dyDescent="0.25">
      <c r="A24" s="955"/>
      <c r="B24" s="1002"/>
      <c r="C24" s="1698" t="s">
        <v>542</v>
      </c>
      <c r="D24" s="1699"/>
      <c r="E24" s="1700"/>
      <c r="F24" s="1005">
        <f>SUM(F22:F23)</f>
        <v>109732.27100000001</v>
      </c>
      <c r="G24" s="1012" t="s">
        <v>543</v>
      </c>
      <c r="H24" s="985">
        <f>H22+H23</f>
        <v>0</v>
      </c>
      <c r="I24" s="1007"/>
      <c r="J24" s="955"/>
      <c r="O24" s="957"/>
    </row>
    <row r="25" spans="1:15" x14ac:dyDescent="0.25">
      <c r="A25" s="955"/>
      <c r="B25" s="1002"/>
      <c r="C25" s="966"/>
      <c r="D25" s="1013"/>
      <c r="E25" s="1014"/>
      <c r="F25" s="1015"/>
      <c r="G25" s="990"/>
      <c r="H25" s="991"/>
      <c r="I25" s="1007"/>
      <c r="J25" s="955"/>
      <c r="O25" s="957"/>
    </row>
    <row r="26" spans="1:15" x14ac:dyDescent="0.25">
      <c r="A26" s="955"/>
      <c r="B26" s="1002"/>
      <c r="C26" s="1016" t="s">
        <v>544</v>
      </c>
      <c r="D26" s="1016"/>
      <c r="E26" s="1016"/>
      <c r="F26" s="1017"/>
      <c r="G26" s="1016"/>
      <c r="H26" s="1016"/>
      <c r="I26" s="1007"/>
      <c r="J26" s="955"/>
      <c r="O26" s="957"/>
    </row>
    <row r="27" spans="1:15" ht="36" customHeight="1" x14ac:dyDescent="0.25">
      <c r="A27" s="955"/>
      <c r="B27" s="1002"/>
      <c r="C27" s="1016"/>
      <c r="D27" s="1016"/>
      <c r="E27" s="1016"/>
      <c r="F27" s="1016"/>
      <c r="G27" s="1016"/>
      <c r="H27" s="1016"/>
      <c r="I27" s="1007"/>
      <c r="J27" s="955"/>
      <c r="O27" s="957"/>
    </row>
    <row r="28" spans="1:15" x14ac:dyDescent="0.25">
      <c r="A28" s="955"/>
      <c r="B28" s="1002"/>
      <c r="C28" s="1701" t="s">
        <v>545</v>
      </c>
      <c r="D28" s="1701"/>
      <c r="E28" s="1701"/>
      <c r="F28" s="1701"/>
      <c r="G28" s="1701"/>
      <c r="H28" s="1701"/>
      <c r="I28" s="1007"/>
      <c r="J28" s="955"/>
      <c r="O28" s="957"/>
    </row>
    <row r="29" spans="1:15" x14ac:dyDescent="0.25">
      <c r="A29" s="955"/>
      <c r="B29" s="1018"/>
      <c r="C29" s="1701"/>
      <c r="D29" s="1701"/>
      <c r="E29" s="1701"/>
      <c r="F29" s="1701"/>
      <c r="G29" s="1701"/>
      <c r="H29" s="1701"/>
      <c r="I29" s="1007"/>
      <c r="J29" s="955"/>
      <c r="O29" s="957"/>
    </row>
    <row r="30" spans="1:15" x14ac:dyDescent="0.25">
      <c r="A30" s="955"/>
      <c r="B30" s="1018"/>
      <c r="C30" s="1701"/>
      <c r="D30" s="1701"/>
      <c r="E30" s="1701"/>
      <c r="F30" s="1701"/>
      <c r="G30" s="1701"/>
      <c r="H30" s="1701"/>
      <c r="I30" s="1007"/>
      <c r="J30" s="955"/>
      <c r="O30" s="957"/>
    </row>
    <row r="31" spans="1:15" x14ac:dyDescent="0.25">
      <c r="A31" s="955"/>
      <c r="B31" s="1018"/>
      <c r="C31" s="1701"/>
      <c r="D31" s="1701"/>
      <c r="E31" s="1701"/>
      <c r="F31" s="1701"/>
      <c r="G31" s="1701"/>
      <c r="H31" s="1701"/>
      <c r="I31" s="1007"/>
      <c r="J31" s="955"/>
      <c r="O31" s="957"/>
    </row>
    <row r="32" spans="1:15" ht="20.25" customHeight="1" thickBot="1" x14ac:dyDescent="0.3">
      <c r="A32" s="955"/>
      <c r="B32" s="1019"/>
      <c r="C32" s="1020"/>
      <c r="D32" s="1020"/>
      <c r="E32" s="1020"/>
      <c r="F32" s="1020"/>
      <c r="G32" s="1020"/>
      <c r="H32" s="1020"/>
      <c r="I32" s="1021"/>
      <c r="J32" s="955"/>
    </row>
    <row r="33" spans="1:10" x14ac:dyDescent="0.25">
      <c r="A33" s="955"/>
      <c r="B33" s="955"/>
      <c r="C33" s="955"/>
      <c r="D33" s="955"/>
      <c r="E33" s="955"/>
      <c r="F33" s="955"/>
      <c r="G33" s="955"/>
      <c r="H33" s="955"/>
      <c r="I33" s="955"/>
      <c r="J33" s="955"/>
    </row>
  </sheetData>
  <sheetProtection algorithmName="SHA-512" hashValue="GUSJcN1jCJUWxWT+IO5ij9RQMputgpKUJRASfyauqGeAoZ1llKw+O/Ip83CH8+25MoG3yxyM+5Fh1WbnVjyUGA==" saltValue="tYDlGhPj5q+PvYJr8kWE4A==" spinCount="100000" sheet="1" objects="1" scenarios="1"/>
  <mergeCells count="7">
    <mergeCell ref="C22:E22"/>
    <mergeCell ref="C24:E24"/>
    <mergeCell ref="C28:H31"/>
    <mergeCell ref="A1:H1"/>
    <mergeCell ref="B2:I3"/>
    <mergeCell ref="D9:E9"/>
    <mergeCell ref="D19:E19"/>
  </mergeCells>
  <dataValidations count="1">
    <dataValidation type="list" allowBlank="1" showInputMessage="1" showErrorMessage="1" sqref="G23" xr:uid="{0A072716-C16F-4451-91EC-6DC8AC6983F5}">
      <formula1>"21%,10%,4%,0%"</formula1>
    </dataValidation>
  </dataValidations>
  <printOptions horizontalCentered="1"/>
  <pageMargins left="0.70866141732283472" right="0.70866141732283472" top="0.74803149606299213" bottom="0.74803149606299213" header="0.31496062992125984" footer="0.31496062992125984"/>
  <pageSetup paperSize="8" orientation="landscape" r:id="rId1"/>
  <customProperties>
    <customPr name="EpmWorksheetKeyString_GUID" r:id="rId2"/>
  </customProperties>
  <ignoredErrors>
    <ignoredError sqref="H24"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6AD49-8224-4006-80DA-5F9C994101AB}">
  <dimension ref="B2:B3"/>
  <sheetViews>
    <sheetView workbookViewId="0">
      <selection activeCell="H10" sqref="H10"/>
    </sheetView>
  </sheetViews>
  <sheetFormatPr defaultRowHeight="15" x14ac:dyDescent="0.25"/>
  <sheetData>
    <row r="2" spans="2:2" ht="16.5" x14ac:dyDescent="0.25">
      <c r="B2" s="1360" t="s">
        <v>654</v>
      </c>
    </row>
    <row r="3" spans="2:2" ht="16.5" x14ac:dyDescent="0.25">
      <c r="B3" s="1360" t="s">
        <v>655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31"/>
  <sheetViews>
    <sheetView workbookViewId="0">
      <selection activeCell="B12" sqref="B12"/>
    </sheetView>
  </sheetViews>
  <sheetFormatPr defaultColWidth="11.5703125" defaultRowHeight="12.75" x14ac:dyDescent="0.2"/>
  <cols>
    <col min="1" max="1" width="67.42578125" style="813" customWidth="1"/>
    <col min="2" max="2" width="16.7109375" style="813" bestFit="1" customWidth="1"/>
    <col min="3" max="3" width="14.85546875" style="813" bestFit="1" customWidth="1"/>
    <col min="4" max="4" width="18.140625" style="813" customWidth="1"/>
    <col min="5" max="5" width="12.85546875" style="813" bestFit="1" customWidth="1"/>
    <col min="6" max="16384" width="11.5703125" style="813"/>
  </cols>
  <sheetData>
    <row r="1" spans="1:5" x14ac:dyDescent="0.2">
      <c r="A1" s="819"/>
      <c r="B1" s="819"/>
      <c r="C1" s="837" t="s">
        <v>468</v>
      </c>
      <c r="D1" s="819"/>
    </row>
    <row r="2" spans="1:5" x14ac:dyDescent="0.2">
      <c r="A2" s="819"/>
      <c r="B2" s="819"/>
      <c r="C2" s="843">
        <v>1724</v>
      </c>
      <c r="D2" s="819"/>
    </row>
    <row r="3" spans="1:5" x14ac:dyDescent="0.2">
      <c r="A3" s="819"/>
      <c r="B3" s="819"/>
      <c r="C3" s="842" t="s">
        <v>467</v>
      </c>
      <c r="D3" s="819"/>
    </row>
    <row r="4" spans="1:5" x14ac:dyDescent="0.2">
      <c r="A4" s="841" t="s">
        <v>466</v>
      </c>
      <c r="B4" s="838">
        <v>2024</v>
      </c>
      <c r="C4" s="840">
        <f>C2-24</f>
        <v>1700</v>
      </c>
      <c r="D4" s="839">
        <v>0.1</v>
      </c>
      <c r="E4" s="844">
        <v>0.25</v>
      </c>
    </row>
    <row r="5" spans="1:5" x14ac:dyDescent="0.2">
      <c r="A5" s="819"/>
      <c r="B5" s="838" t="s">
        <v>465</v>
      </c>
      <c r="C5" s="837" t="s">
        <v>464</v>
      </c>
      <c r="D5" s="837" t="s">
        <v>463</v>
      </c>
    </row>
    <row r="6" spans="1:5" x14ac:dyDescent="0.2">
      <c r="B6" s="836"/>
      <c r="D6" s="835" t="s">
        <v>462</v>
      </c>
    </row>
    <row r="7" spans="1:5" x14ac:dyDescent="0.2">
      <c r="A7" s="821" t="s">
        <v>447</v>
      </c>
      <c r="B7" s="831">
        <v>30703.55</v>
      </c>
      <c r="C7" s="828">
        <f t="shared" ref="C7:C13" si="0">B7/$C$2</f>
        <v>17.809483758700697</v>
      </c>
      <c r="D7" s="822">
        <f t="shared" ref="D7:D13" si="1">C7*$D$4</f>
        <v>1.7809483758700697</v>
      </c>
      <c r="E7" s="820">
        <f>C7*$E$4</f>
        <v>4.4523709396751743</v>
      </c>
    </row>
    <row r="8" spans="1:5" x14ac:dyDescent="0.2">
      <c r="A8" s="834" t="s">
        <v>446</v>
      </c>
      <c r="B8" s="833">
        <v>25922.15</v>
      </c>
      <c r="C8" s="828">
        <f t="shared" si="0"/>
        <v>15.036049883990721</v>
      </c>
      <c r="D8" s="822">
        <f t="shared" si="1"/>
        <v>1.5036049883990721</v>
      </c>
      <c r="E8" s="820">
        <f t="shared" ref="E8:E13" si="2">C8*$E$4</f>
        <v>3.7590124709976802</v>
      </c>
    </row>
    <row r="9" spans="1:5" x14ac:dyDescent="0.2">
      <c r="A9" s="832" t="s">
        <v>461</v>
      </c>
      <c r="B9" s="831">
        <v>24677.81</v>
      </c>
      <c r="C9" s="828">
        <f t="shared" si="0"/>
        <v>14.314274941995361</v>
      </c>
      <c r="D9" s="822">
        <f t="shared" si="1"/>
        <v>1.4314274941995362</v>
      </c>
      <c r="E9" s="820">
        <f t="shared" si="2"/>
        <v>3.5785687354988402</v>
      </c>
    </row>
    <row r="10" spans="1:5" x14ac:dyDescent="0.2">
      <c r="A10" s="832" t="s">
        <v>460</v>
      </c>
      <c r="B10" s="831">
        <v>24677.81</v>
      </c>
      <c r="C10" s="828">
        <f t="shared" si="0"/>
        <v>14.314274941995361</v>
      </c>
      <c r="D10" s="822">
        <f t="shared" si="1"/>
        <v>1.4314274941995362</v>
      </c>
      <c r="E10" s="820">
        <f t="shared" si="2"/>
        <v>3.5785687354988402</v>
      </c>
    </row>
    <row r="11" spans="1:5" x14ac:dyDescent="0.2">
      <c r="A11" s="832" t="s">
        <v>459</v>
      </c>
      <c r="B11" s="831">
        <v>22319.07</v>
      </c>
      <c r="C11" s="828">
        <f t="shared" si="0"/>
        <v>12.946096287703016</v>
      </c>
      <c r="D11" s="822">
        <f t="shared" si="1"/>
        <v>1.2946096287703017</v>
      </c>
      <c r="E11" s="820">
        <f t="shared" si="2"/>
        <v>3.236524071925754</v>
      </c>
    </row>
    <row r="12" spans="1:5" x14ac:dyDescent="0.2">
      <c r="A12" s="832" t="s">
        <v>458</v>
      </c>
      <c r="B12" s="831">
        <v>19546.099999999999</v>
      </c>
      <c r="C12" s="828">
        <f t="shared" si="0"/>
        <v>11.337645011600927</v>
      </c>
      <c r="D12" s="822">
        <f t="shared" si="1"/>
        <v>1.1337645011600928</v>
      </c>
      <c r="E12" s="820">
        <f t="shared" si="2"/>
        <v>2.8344112529002317</v>
      </c>
    </row>
    <row r="13" spans="1:5" x14ac:dyDescent="0.2">
      <c r="A13" s="830" t="s">
        <v>457</v>
      </c>
      <c r="B13" s="829">
        <v>16999.830000000002</v>
      </c>
      <c r="C13" s="828">
        <f t="shared" si="0"/>
        <v>9.860690255220419</v>
      </c>
      <c r="D13" s="822">
        <f t="shared" si="1"/>
        <v>0.9860690255220419</v>
      </c>
      <c r="E13" s="820">
        <f t="shared" si="2"/>
        <v>2.4651725638051047</v>
      </c>
    </row>
    <row r="14" spans="1:5" x14ac:dyDescent="0.2">
      <c r="A14" s="820"/>
      <c r="B14" s="827"/>
    </row>
    <row r="15" spans="1:5" ht="15" x14ac:dyDescent="0.25">
      <c r="A15" s="826" t="s">
        <v>456</v>
      </c>
      <c r="B15" s="825" t="s">
        <v>455</v>
      </c>
      <c r="C15" s="824" t="s">
        <v>454</v>
      </c>
    </row>
    <row r="16" spans="1:5" x14ac:dyDescent="0.2">
      <c r="A16" s="815" t="s">
        <v>453</v>
      </c>
      <c r="B16" s="823">
        <v>289.06</v>
      </c>
      <c r="C16" s="815">
        <f>B16*14</f>
        <v>4046.84</v>
      </c>
    </row>
    <row r="17" spans="1:4" x14ac:dyDescent="0.2">
      <c r="A17" s="821" t="s">
        <v>452</v>
      </c>
      <c r="B17" s="823">
        <v>92.92</v>
      </c>
      <c r="C17" s="815">
        <f>B17*14</f>
        <v>1300.8800000000001</v>
      </c>
    </row>
    <row r="18" spans="1:4" x14ac:dyDescent="0.2">
      <c r="A18" s="821"/>
      <c r="B18" s="822"/>
      <c r="C18" s="815"/>
    </row>
    <row r="19" spans="1:4" x14ac:dyDescent="0.2">
      <c r="A19" s="815" t="s">
        <v>451</v>
      </c>
      <c r="B19" s="821" t="s">
        <v>450</v>
      </c>
      <c r="C19" s="819" t="s">
        <v>449</v>
      </c>
    </row>
    <row r="20" spans="1:4" x14ac:dyDescent="0.2">
      <c r="A20" s="820"/>
      <c r="C20" s="815">
        <f>B7*25%</f>
        <v>7675.8874999999998</v>
      </c>
      <c r="D20" s="818" t="s">
        <v>447</v>
      </c>
    </row>
    <row r="21" spans="1:4" x14ac:dyDescent="0.2">
      <c r="C21" s="815">
        <f>B8*25%</f>
        <v>6480.5375000000004</v>
      </c>
      <c r="D21" s="817" t="s">
        <v>446</v>
      </c>
    </row>
    <row r="22" spans="1:4" x14ac:dyDescent="0.2">
      <c r="C22" s="815">
        <f>B9*25%</f>
        <v>6169.4525000000003</v>
      </c>
      <c r="D22" s="816" t="s">
        <v>445</v>
      </c>
    </row>
    <row r="23" spans="1:4" x14ac:dyDescent="0.2">
      <c r="C23" s="815">
        <f>B10*25%</f>
        <v>6169.4525000000003</v>
      </c>
      <c r="D23" s="816" t="s">
        <v>444</v>
      </c>
    </row>
    <row r="24" spans="1:4" x14ac:dyDescent="0.2">
      <c r="C24" s="815">
        <f>B11*25%</f>
        <v>5579.7674999999999</v>
      </c>
      <c r="D24" s="814" t="s">
        <v>443</v>
      </c>
    </row>
    <row r="25" spans="1:4" x14ac:dyDescent="0.2">
      <c r="C25" s="819" t="s">
        <v>448</v>
      </c>
    </row>
    <row r="26" spans="1:4" x14ac:dyDescent="0.2">
      <c r="C26" s="815">
        <f>B7*30%*25%</f>
        <v>2302.7662499999997</v>
      </c>
      <c r="D26" s="818" t="s">
        <v>447</v>
      </c>
    </row>
    <row r="27" spans="1:4" x14ac:dyDescent="0.2">
      <c r="C27" s="815">
        <f>B8*30%*25%</f>
        <v>1944.1612500000001</v>
      </c>
      <c r="D27" s="817" t="s">
        <v>446</v>
      </c>
    </row>
    <row r="28" spans="1:4" x14ac:dyDescent="0.2">
      <c r="C28" s="815">
        <f>B9*30%*25%</f>
        <v>1850.83575</v>
      </c>
      <c r="D28" s="816" t="s">
        <v>445</v>
      </c>
    </row>
    <row r="29" spans="1:4" x14ac:dyDescent="0.2">
      <c r="C29" s="815">
        <f>B10*30%*25%</f>
        <v>1850.83575</v>
      </c>
      <c r="D29" s="816" t="s">
        <v>444</v>
      </c>
    </row>
    <row r="30" spans="1:4" x14ac:dyDescent="0.2">
      <c r="C30" s="815">
        <f>B11*30%*25%</f>
        <v>1673.9302499999999</v>
      </c>
      <c r="D30" s="814" t="s">
        <v>443</v>
      </c>
    </row>
    <row r="31" spans="1:4" x14ac:dyDescent="0.2">
      <c r="A31" s="813" t="s">
        <v>442</v>
      </c>
    </row>
  </sheetData>
  <pageMargins left="0.25" right="0.25" top="0.75" bottom="0.75" header="0.3" footer="0.3"/>
  <pageSetup paperSize="9" orientation="landscape" r:id="rId1"/>
  <headerFooter>
    <oddFooter>&amp;L&amp;F&amp;R&amp;A</oddFooter>
  </headerFooter>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AH140"/>
  <sheetViews>
    <sheetView topLeftCell="B101" zoomScaleNormal="100" workbookViewId="0">
      <selection activeCell="R61" sqref="R61"/>
    </sheetView>
  </sheetViews>
  <sheetFormatPr defaultColWidth="10.85546875" defaultRowHeight="15" x14ac:dyDescent="0.25"/>
  <cols>
    <col min="1" max="1" width="72" style="216" customWidth="1"/>
    <col min="2" max="2" width="10.85546875" bestFit="1" customWidth="1"/>
    <col min="3" max="3" width="9.140625" customWidth="1"/>
    <col min="4" max="4" width="11.140625" customWidth="1"/>
    <col min="5" max="6" width="15.7109375" customWidth="1"/>
    <col min="7" max="7" width="12.85546875" bestFit="1" customWidth="1"/>
    <col min="8" max="8" width="11" bestFit="1" customWidth="1"/>
    <col min="9" max="9" width="14" bestFit="1" customWidth="1"/>
    <col min="10" max="11" width="15.7109375" hidden="1" customWidth="1"/>
    <col min="12" max="12" width="18" hidden="1" customWidth="1"/>
    <col min="13" max="13" width="12.140625" bestFit="1" customWidth="1"/>
    <col min="14" max="14" width="14.140625" bestFit="1" customWidth="1"/>
    <col min="15" max="15" width="15.140625" bestFit="1" customWidth="1"/>
    <col min="16" max="16" width="14.140625" bestFit="1" customWidth="1"/>
    <col min="17" max="17" width="23.5703125" hidden="1" customWidth="1"/>
    <col min="18" max="18" width="9.28515625" bestFit="1" customWidth="1"/>
    <col min="19" max="19" width="14.42578125" bestFit="1" customWidth="1"/>
    <col min="20" max="20" width="16.5703125" customWidth="1"/>
    <col min="21" max="21" width="22.140625" customWidth="1"/>
    <col min="22" max="22" width="14.140625" style="2" customWidth="1"/>
    <col min="23" max="23" width="13.140625" bestFit="1" customWidth="1"/>
    <col min="24" max="24" width="27.85546875" bestFit="1" customWidth="1"/>
    <col min="25" max="25" width="15.5703125" bestFit="1" customWidth="1"/>
    <col min="26" max="26" width="16.7109375" bestFit="1" customWidth="1"/>
    <col min="27" max="28" width="13.5703125" customWidth="1"/>
    <col min="29" max="29" width="14.7109375" bestFit="1" customWidth="1"/>
    <col min="31" max="31" width="11.28515625" bestFit="1" customWidth="1"/>
    <col min="34" max="34" width="12.42578125" bestFit="1" customWidth="1"/>
  </cols>
  <sheetData>
    <row r="1" spans="1:23" ht="18.75" x14ac:dyDescent="0.25">
      <c r="A1" s="1692" t="s">
        <v>65</v>
      </c>
      <c r="B1" s="1692"/>
      <c r="C1" s="1692"/>
      <c r="D1" s="1692"/>
      <c r="E1" s="1692"/>
      <c r="F1" s="1692"/>
      <c r="G1" s="1692"/>
      <c r="H1" s="1692"/>
      <c r="I1" s="1692"/>
      <c r="J1" s="1692"/>
      <c r="K1" s="1692"/>
      <c r="L1" s="1692"/>
      <c r="M1" s="1692"/>
      <c r="N1" s="1692"/>
      <c r="O1" s="1692"/>
      <c r="P1" s="1692"/>
      <c r="Q1" s="1692"/>
      <c r="R1" s="1692"/>
      <c r="S1" s="1692"/>
      <c r="T1" s="1692"/>
      <c r="U1" s="1692"/>
      <c r="V1" s="1692"/>
      <c r="W1" s="1692"/>
    </row>
    <row r="3" spans="1:23" ht="15.75" x14ac:dyDescent="0.25">
      <c r="A3" s="1693" t="s">
        <v>0</v>
      </c>
      <c r="B3" s="1693"/>
      <c r="C3" s="1693"/>
      <c r="D3" s="1693"/>
      <c r="E3" s="1693"/>
      <c r="F3" s="1693"/>
      <c r="G3" s="1693"/>
      <c r="H3" s="1693"/>
      <c r="I3" s="1693"/>
      <c r="J3" s="1693"/>
      <c r="K3" s="1693"/>
      <c r="L3" s="1693"/>
      <c r="M3" s="1693"/>
      <c r="N3" s="1693"/>
      <c r="O3" s="1693"/>
      <c r="P3" s="1693"/>
      <c r="Q3" s="1693"/>
      <c r="R3" s="1693"/>
      <c r="S3" s="1693"/>
      <c r="T3" s="1693"/>
      <c r="U3" s="1693"/>
      <c r="V3" s="1693"/>
      <c r="W3" s="1693"/>
    </row>
    <row r="4" spans="1:23" ht="16.5" x14ac:dyDescent="0.25">
      <c r="A4" s="1694" t="s">
        <v>1</v>
      </c>
      <c r="B4" s="1694"/>
      <c r="C4" s="1694"/>
      <c r="D4" s="1694"/>
      <c r="E4" s="1694"/>
      <c r="F4" s="1694"/>
      <c r="G4" s="1694"/>
      <c r="H4" s="1694"/>
      <c r="I4" s="1694"/>
      <c r="J4" s="1694"/>
      <c r="K4" s="1694"/>
      <c r="L4" s="1694"/>
      <c r="M4" s="1694"/>
      <c r="N4" s="1694"/>
      <c r="O4" s="1694"/>
      <c r="P4" s="1694"/>
      <c r="Q4" s="1694"/>
      <c r="R4" s="1694"/>
      <c r="S4" s="1694"/>
      <c r="T4" s="1694"/>
      <c r="U4" s="1694"/>
      <c r="V4" s="1694"/>
      <c r="W4" s="1694"/>
    </row>
    <row r="6" spans="1:23" x14ac:dyDescent="0.25">
      <c r="C6" t="s">
        <v>291</v>
      </c>
      <c r="D6" s="382">
        <v>45658</v>
      </c>
      <c r="E6" t="s">
        <v>406</v>
      </c>
      <c r="G6" s="21"/>
      <c r="H6" s="21"/>
      <c r="I6" s="559">
        <f>(G8*H7)/G7</f>
        <v>0.36083333333333334</v>
      </c>
      <c r="J6" s="21">
        <v>1226.83</v>
      </c>
      <c r="K6" s="21">
        <v>4.33</v>
      </c>
      <c r="L6" s="21"/>
      <c r="M6" s="21"/>
      <c r="N6" s="21"/>
      <c r="O6" s="21"/>
      <c r="P6" s="21"/>
      <c r="Q6" s="21"/>
      <c r="R6" s="21"/>
      <c r="S6" s="21"/>
      <c r="T6" s="21"/>
      <c r="U6" s="21"/>
      <c r="V6" s="21"/>
    </row>
    <row r="7" spans="1:23" ht="18" x14ac:dyDescent="0.25">
      <c r="A7" s="244"/>
      <c r="G7" s="21">
        <v>12</v>
      </c>
      <c r="H7" s="21">
        <v>1</v>
      </c>
      <c r="I7" s="21"/>
      <c r="J7" s="21"/>
      <c r="K7" s="560"/>
      <c r="L7" s="21"/>
      <c r="M7" s="21"/>
      <c r="N7" s="21"/>
      <c r="O7" s="21"/>
      <c r="P7" s="21"/>
      <c r="Q7" s="21"/>
      <c r="R7" s="21"/>
      <c r="S7" s="21"/>
      <c r="T7" s="21"/>
      <c r="U7" s="21"/>
      <c r="V7" s="21"/>
    </row>
    <row r="8" spans="1:23" x14ac:dyDescent="0.25">
      <c r="G8" s="21">
        <v>4.33</v>
      </c>
      <c r="H8" s="21"/>
      <c r="I8" s="21"/>
      <c r="J8" s="21"/>
      <c r="K8" s="21"/>
      <c r="L8" s="21"/>
      <c r="M8" s="21"/>
      <c r="N8" s="21"/>
      <c r="O8" s="21"/>
      <c r="P8" s="561">
        <f>N25/1700</f>
        <v>14.510470588235293</v>
      </c>
      <c r="Q8" s="21"/>
      <c r="R8" s="21"/>
      <c r="S8" s="21"/>
      <c r="T8" s="21"/>
      <c r="U8" s="21"/>
      <c r="V8" s="21"/>
    </row>
    <row r="9" spans="1:23" x14ac:dyDescent="0.25">
      <c r="A9" s="217" t="s">
        <v>24</v>
      </c>
      <c r="B9" s="204">
        <v>225</v>
      </c>
      <c r="C9" s="9" t="s">
        <v>2</v>
      </c>
      <c r="D9" s="10"/>
      <c r="E9" s="10"/>
      <c r="F9" s="11"/>
      <c r="G9" s="21"/>
      <c r="H9" s="21">
        <v>1700</v>
      </c>
      <c r="I9" s="21">
        <v>12</v>
      </c>
      <c r="J9" s="21"/>
      <c r="K9" s="562"/>
      <c r="L9" s="563"/>
      <c r="M9" s="563"/>
      <c r="N9" s="21">
        <v>1</v>
      </c>
      <c r="O9" s="21"/>
      <c r="P9" s="561">
        <f>P8*32.6%</f>
        <v>4.7304134117647054</v>
      </c>
      <c r="Q9" s="21"/>
      <c r="R9" s="21"/>
      <c r="S9" s="21"/>
      <c r="T9" s="21"/>
      <c r="U9" s="21"/>
      <c r="V9" s="21"/>
      <c r="W9" s="1"/>
    </row>
    <row r="10" spans="1:23" ht="15.75" thickBot="1" x14ac:dyDescent="0.3">
      <c r="A10" s="218" t="s">
        <v>3</v>
      </c>
      <c r="B10" s="205">
        <v>1701</v>
      </c>
      <c r="C10" s="6" t="s">
        <v>4</v>
      </c>
      <c r="F10" s="12"/>
      <c r="G10" s="21"/>
      <c r="H10" s="562"/>
      <c r="I10" s="21">
        <v>4.33</v>
      </c>
      <c r="J10" s="561"/>
      <c r="K10" s="21"/>
      <c r="L10" s="564"/>
      <c r="M10" s="564"/>
      <c r="N10" s="565"/>
      <c r="O10" s="565"/>
      <c r="P10" s="561">
        <f>P8*2.44%</f>
        <v>0.3540554823529411</v>
      </c>
      <c r="Q10" s="21"/>
      <c r="R10" s="21"/>
      <c r="S10" s="21"/>
      <c r="T10" s="21"/>
      <c r="U10" s="21"/>
      <c r="V10" s="21"/>
    </row>
    <row r="11" spans="1:23" ht="15.75" thickBot="1" x14ac:dyDescent="0.3">
      <c r="A11" s="219"/>
      <c r="B11" s="14"/>
      <c r="C11" s="13"/>
      <c r="D11" s="15"/>
      <c r="E11" s="15"/>
      <c r="F11" s="14"/>
      <c r="G11" s="21"/>
      <c r="H11" s="567"/>
      <c r="I11" s="21"/>
      <c r="J11" s="561"/>
      <c r="K11" s="562"/>
      <c r="L11" s="563"/>
      <c r="M11" s="563"/>
      <c r="N11" s="21"/>
      <c r="O11" s="21"/>
      <c r="P11" s="561">
        <f>SUM(P8:P10)</f>
        <v>19.594939482352938</v>
      </c>
      <c r="Q11" s="21"/>
      <c r="R11" s="21"/>
      <c r="S11" s="21"/>
      <c r="T11" s="21"/>
      <c r="U11" s="21"/>
      <c r="V11" s="21"/>
    </row>
    <row r="12" spans="1:23" x14ac:dyDescent="0.25">
      <c r="A12" s="220" t="s">
        <v>25</v>
      </c>
      <c r="B12" s="16">
        <v>0.32600000000000001</v>
      </c>
      <c r="C12" s="6" t="s">
        <v>26</v>
      </c>
      <c r="F12" s="12"/>
      <c r="G12" s="21"/>
      <c r="H12" s="562">
        <f>(H9*I10)/I9</f>
        <v>613.41666666666663</v>
      </c>
      <c r="I12" s="562">
        <f>J6/H12</f>
        <v>1.9999945659557126</v>
      </c>
      <c r="J12" s="562"/>
      <c r="K12" s="21"/>
      <c r="L12" s="562"/>
      <c r="M12" s="562"/>
      <c r="N12" s="807"/>
      <c r="O12" s="809"/>
      <c r="P12" s="569">
        <v>3.63</v>
      </c>
      <c r="Q12" s="21"/>
      <c r="R12" s="21"/>
      <c r="S12" s="21"/>
      <c r="T12" s="21"/>
      <c r="U12" s="21"/>
      <c r="V12" s="21"/>
      <c r="W12" s="1"/>
    </row>
    <row r="13" spans="1:23" x14ac:dyDescent="0.25">
      <c r="A13" s="217" t="s">
        <v>5</v>
      </c>
      <c r="B13" s="18">
        <v>5.2299999999999999E-2</v>
      </c>
      <c r="C13" s="6" t="s">
        <v>420</v>
      </c>
      <c r="F13" s="12"/>
      <c r="G13" s="21"/>
      <c r="H13" s="21"/>
      <c r="I13" s="809">
        <f>N30/1701</f>
        <v>14.501940035273368</v>
      </c>
      <c r="J13" s="811"/>
      <c r="K13" s="811"/>
      <c r="L13" s="811"/>
      <c r="M13" s="811"/>
      <c r="N13" s="812"/>
      <c r="O13" s="808"/>
      <c r="P13" s="561">
        <f>SUM(P11:P12)</f>
        <v>23.224939482352937</v>
      </c>
      <c r="Q13" s="21"/>
      <c r="R13" s="21"/>
      <c r="S13" s="21"/>
      <c r="T13" s="21"/>
      <c r="U13" s="21"/>
      <c r="V13" s="21"/>
      <c r="W13" s="1"/>
    </row>
    <row r="14" spans="1:23" x14ac:dyDescent="0.25">
      <c r="A14" s="217" t="s">
        <v>6</v>
      </c>
      <c r="B14" s="18">
        <v>2.4500000000000001E-2</v>
      </c>
      <c r="C14" s="6" t="s">
        <v>7</v>
      </c>
      <c r="F14" s="12"/>
      <c r="G14" s="21"/>
      <c r="H14" s="21"/>
      <c r="I14" s="809">
        <f>I13*0.25</f>
        <v>3.6254850088183419</v>
      </c>
      <c r="J14" s="811"/>
      <c r="K14" s="811"/>
      <c r="L14" s="811"/>
      <c r="M14" s="811"/>
      <c r="N14" s="812"/>
      <c r="O14" s="808"/>
      <c r="P14" s="21"/>
      <c r="Q14" s="561"/>
      <c r="R14" s="561"/>
      <c r="S14" s="561"/>
      <c r="T14" s="561"/>
      <c r="U14" s="21">
        <f>U15-W15</f>
        <v>1.1207973584532738E-3</v>
      </c>
      <c r="V14" s="21"/>
      <c r="W14" s="22"/>
    </row>
    <row r="15" spans="1:23" x14ac:dyDescent="0.25">
      <c r="A15" s="217" t="s">
        <v>8</v>
      </c>
      <c r="B15" s="18">
        <v>0.05</v>
      </c>
      <c r="C15" s="23"/>
      <c r="D15" s="24"/>
      <c r="E15" s="24"/>
      <c r="F15" s="25"/>
      <c r="G15" s="21"/>
      <c r="H15" s="21"/>
      <c r="I15" s="811"/>
      <c r="J15" s="811"/>
      <c r="K15" s="811"/>
      <c r="L15" s="811"/>
      <c r="M15" s="811"/>
      <c r="N15" s="811"/>
      <c r="O15" s="21"/>
      <c r="P15" s="565">
        <f>O29</f>
        <v>0</v>
      </c>
      <c r="Q15" s="21"/>
      <c r="R15" s="21"/>
      <c r="S15" s="21"/>
      <c r="T15" s="21"/>
      <c r="U15" s="21">
        <v>182200.39112079737</v>
      </c>
      <c r="V15" s="21"/>
      <c r="W15" s="21">
        <v>182200.39</v>
      </c>
    </row>
    <row r="17" spans="1:29" ht="15.75" thickBot="1" x14ac:dyDescent="0.3"/>
    <row r="18" spans="1:29" ht="57.6" customHeight="1" thickBot="1" x14ac:dyDescent="0.3">
      <c r="A18" s="221" t="s">
        <v>10</v>
      </c>
      <c r="B18" s="26" t="s">
        <v>27</v>
      </c>
      <c r="C18" s="27" t="s">
        <v>11</v>
      </c>
      <c r="D18" s="27" t="s">
        <v>12</v>
      </c>
      <c r="E18" s="27" t="s">
        <v>13</v>
      </c>
      <c r="F18" s="26" t="s">
        <v>28</v>
      </c>
      <c r="G18" s="26" t="s">
        <v>29</v>
      </c>
      <c r="H18" s="26" t="s">
        <v>299</v>
      </c>
      <c r="I18" s="26" t="s">
        <v>242</v>
      </c>
      <c r="J18" s="26" t="s">
        <v>30</v>
      </c>
      <c r="K18" s="26" t="s">
        <v>31</v>
      </c>
      <c r="L18" s="28" t="s">
        <v>32</v>
      </c>
      <c r="M18" s="28" t="s">
        <v>414</v>
      </c>
      <c r="N18" s="27" t="s">
        <v>14</v>
      </c>
      <c r="O18" s="26" t="s">
        <v>421</v>
      </c>
      <c r="P18" s="26" t="s">
        <v>423</v>
      </c>
      <c r="Q18" s="29" t="s">
        <v>34</v>
      </c>
      <c r="R18" s="693" t="s">
        <v>422</v>
      </c>
      <c r="S18" s="693"/>
      <c r="T18" s="695" t="s">
        <v>425</v>
      </c>
      <c r="U18" s="30" t="s">
        <v>35</v>
      </c>
      <c r="V18" s="650"/>
      <c r="X18" s="31" t="s">
        <v>36</v>
      </c>
      <c r="Y18" s="32" t="s">
        <v>37</v>
      </c>
      <c r="Z18" s="32" t="s">
        <v>38</v>
      </c>
      <c r="AA18" s="32" t="s">
        <v>39</v>
      </c>
      <c r="AB18" s="32" t="s">
        <v>40</v>
      </c>
      <c r="AC18" s="33" t="s">
        <v>9</v>
      </c>
    </row>
    <row r="19" spans="1:29" ht="30" customHeight="1" thickBot="1" x14ac:dyDescent="0.3">
      <c r="A19" s="222" t="s">
        <v>41</v>
      </c>
      <c r="B19" s="34"/>
      <c r="C19" s="34"/>
      <c r="D19" s="34"/>
      <c r="E19" s="35"/>
      <c r="F19" s="34"/>
      <c r="G19" s="34"/>
      <c r="H19" s="34"/>
      <c r="I19" s="34"/>
      <c r="J19" s="34"/>
      <c r="K19" s="34"/>
      <c r="L19" s="34"/>
      <c r="M19" s="34"/>
      <c r="N19" s="34"/>
      <c r="O19" s="34"/>
      <c r="P19" s="34"/>
      <c r="Q19" s="36"/>
      <c r="R19" s="692"/>
      <c r="S19" s="692"/>
      <c r="T19" s="692"/>
      <c r="U19" s="35" t="s">
        <v>42</v>
      </c>
      <c r="V19" s="651"/>
      <c r="X19" s="7"/>
      <c r="Y19" s="10"/>
      <c r="Z19" s="37"/>
      <c r="AA19" s="37"/>
      <c r="AB19" s="37"/>
      <c r="AC19" s="37"/>
    </row>
    <row r="20" spans="1:29" ht="21.75" customHeight="1" x14ac:dyDescent="0.25">
      <c r="A20" s="384" t="s">
        <v>66</v>
      </c>
      <c r="B20" s="385"/>
      <c r="C20" s="386"/>
      <c r="D20" s="385"/>
      <c r="E20" s="387"/>
      <c r="F20" s="385"/>
      <c r="G20" s="388"/>
      <c r="H20" s="388"/>
      <c r="I20" s="388"/>
      <c r="J20" s="389"/>
      <c r="K20" s="389"/>
      <c r="L20" s="390"/>
      <c r="M20" s="390"/>
      <c r="N20" s="391"/>
      <c r="O20" s="391"/>
      <c r="P20" s="392"/>
      <c r="Q20" s="393">
        <f>IF(L20&gt;P20,L20,P20)</f>
        <v>0</v>
      </c>
      <c r="R20" s="393"/>
      <c r="S20" s="746">
        <f>S21+S25</f>
        <v>79399.287037037036</v>
      </c>
      <c r="T20" s="393"/>
      <c r="U20" s="570">
        <f>SUM(U21:U28)</f>
        <v>105283.45461111111</v>
      </c>
      <c r="V20" s="652"/>
      <c r="X20" s="160"/>
      <c r="Z20" s="3"/>
      <c r="AA20" s="3"/>
      <c r="AB20" s="3"/>
      <c r="AC20" s="3"/>
    </row>
    <row r="21" spans="1:29" ht="21.75" customHeight="1" x14ac:dyDescent="0.25">
      <c r="A21" s="223" t="s">
        <v>294</v>
      </c>
      <c r="B21" s="38"/>
      <c r="C21" s="39" t="s">
        <v>121</v>
      </c>
      <c r="D21" s="38">
        <f>F21/225</f>
        <v>7.5555555555555554</v>
      </c>
      <c r="E21" s="40">
        <v>37.799999999999997</v>
      </c>
      <c r="F21" s="422">
        <v>1700</v>
      </c>
      <c r="G21" s="41">
        <f>F21/B10</f>
        <v>0.99941211052322165</v>
      </c>
      <c r="H21" s="41"/>
      <c r="I21" s="41"/>
      <c r="J21" s="42"/>
      <c r="K21" s="42"/>
      <c r="L21" s="43"/>
      <c r="M21" s="621">
        <v>49151.040000000001</v>
      </c>
      <c r="N21" s="268">
        <v>30703.54</v>
      </c>
      <c r="O21" s="667">
        <f>N21+N22+N23+N24</f>
        <v>37625.688249999999</v>
      </c>
      <c r="P21" s="668">
        <f>IF(M21&gt;O21,M21,O21)</f>
        <v>49151.040000000001</v>
      </c>
      <c r="Q21" s="44"/>
      <c r="R21" s="684">
        <f>(P21-O21)/P21</f>
        <v>0.2344884614852504</v>
      </c>
      <c r="S21" s="691">
        <f>P21*G21</f>
        <v>49122.14462081129</v>
      </c>
      <c r="T21" s="696">
        <f>$B$12*S21</f>
        <v>16013.819146384481</v>
      </c>
      <c r="U21" s="45">
        <f>S21+T21</f>
        <v>65135.963767195775</v>
      </c>
      <c r="V21" s="492">
        <f>S20+S29+S58+S70</f>
        <v>2331638.3329018606</v>
      </c>
      <c r="W21" s="20"/>
      <c r="X21" s="160">
        <f t="shared" ref="X21:X28" si="0">U21</f>
        <v>65135.963767195775</v>
      </c>
      <c r="Z21" s="3"/>
      <c r="AA21" s="3"/>
      <c r="AB21" s="3"/>
      <c r="AC21" s="3"/>
    </row>
    <row r="22" spans="1:29" ht="21" customHeight="1" x14ac:dyDescent="0.25">
      <c r="A22" s="617" t="s">
        <v>293</v>
      </c>
      <c r="B22" s="38"/>
      <c r="C22" s="39" t="s">
        <v>16</v>
      </c>
      <c r="D22" s="38"/>
      <c r="E22" s="40"/>
      <c r="F22" s="38">
        <f>F21*I22</f>
        <v>850</v>
      </c>
      <c r="G22" s="41">
        <v>1</v>
      </c>
      <c r="H22" s="415">
        <f>(N21/F21)*0.1</f>
        <v>1.8060905882352942</v>
      </c>
      <c r="I22" s="428">
        <v>0.5</v>
      </c>
      <c r="J22" s="42"/>
      <c r="K22" s="42"/>
      <c r="L22" s="43"/>
      <c r="M22" s="669"/>
      <c r="N22" s="268">
        <f>H22*F22</f>
        <v>1535.1770000000001</v>
      </c>
      <c r="O22" s="673"/>
      <c r="P22" s="676"/>
      <c r="Q22" s="44"/>
      <c r="R22" s="44"/>
      <c r="S22" s="44"/>
      <c r="T22" s="696">
        <f t="shared" ref="T22:T70" si="1">$B$12*S22</f>
        <v>0</v>
      </c>
      <c r="U22" s="45"/>
      <c r="V22" s="492"/>
      <c r="X22" s="160">
        <f t="shared" si="0"/>
        <v>0</v>
      </c>
      <c r="Z22" s="3"/>
      <c r="AA22" s="3"/>
      <c r="AB22" s="3"/>
      <c r="AC22" s="3"/>
    </row>
    <row r="23" spans="1:29" ht="15.95" customHeight="1" x14ac:dyDescent="0.25">
      <c r="A23" s="617" t="s">
        <v>292</v>
      </c>
      <c r="B23" s="38"/>
      <c r="C23" s="39"/>
      <c r="D23" s="38">
        <f>D20*0.25</f>
        <v>0</v>
      </c>
      <c r="E23" s="40">
        <f>E20*0.25</f>
        <v>0</v>
      </c>
      <c r="F23" s="38">
        <f>F21*I23</f>
        <v>425</v>
      </c>
      <c r="G23" s="41">
        <v>1</v>
      </c>
      <c r="H23" s="415">
        <f>(N21/F21)*I23</f>
        <v>4.5152264705882352</v>
      </c>
      <c r="I23" s="428">
        <v>0.25</v>
      </c>
      <c r="J23" s="42"/>
      <c r="K23" s="42"/>
      <c r="L23" s="43"/>
      <c r="M23" s="669"/>
      <c r="N23" s="268">
        <f>F23*H23</f>
        <v>1918.9712500000001</v>
      </c>
      <c r="O23" s="673"/>
      <c r="P23" s="676"/>
      <c r="Q23" s="44"/>
      <c r="R23" s="44"/>
      <c r="S23" s="44"/>
      <c r="T23" s="696">
        <f t="shared" si="1"/>
        <v>0</v>
      </c>
      <c r="U23" s="45"/>
      <c r="V23" s="492"/>
      <c r="W23" s="20"/>
      <c r="X23" s="160">
        <f t="shared" si="0"/>
        <v>0</v>
      </c>
      <c r="Z23" s="3"/>
      <c r="AA23" s="3"/>
      <c r="AB23" s="3"/>
      <c r="AC23" s="3"/>
    </row>
    <row r="24" spans="1:29" ht="15.95" customHeight="1" x14ac:dyDescent="0.25">
      <c r="A24" s="617" t="s">
        <v>318</v>
      </c>
      <c r="B24" s="38"/>
      <c r="C24" s="39"/>
      <c r="D24" s="38"/>
      <c r="E24" s="40"/>
      <c r="F24" s="38">
        <v>12</v>
      </c>
      <c r="G24" s="41">
        <v>1</v>
      </c>
      <c r="H24" s="415">
        <v>289</v>
      </c>
      <c r="I24" s="428"/>
      <c r="J24" s="42"/>
      <c r="K24" s="42"/>
      <c r="L24" s="43"/>
      <c r="M24" s="669"/>
      <c r="N24" s="268">
        <f>H24*F24</f>
        <v>3468</v>
      </c>
      <c r="O24" s="673"/>
      <c r="P24" s="676"/>
      <c r="Q24" s="44"/>
      <c r="R24" s="44"/>
      <c r="S24" s="44"/>
      <c r="T24" s="696">
        <f t="shared" si="1"/>
        <v>0</v>
      </c>
      <c r="U24" s="45"/>
      <c r="V24" s="492"/>
      <c r="W24" s="20"/>
      <c r="X24" s="160">
        <f t="shared" si="0"/>
        <v>0</v>
      </c>
      <c r="Z24" s="3"/>
      <c r="AA24" s="3"/>
      <c r="AB24" s="3"/>
      <c r="AC24" s="3"/>
    </row>
    <row r="25" spans="1:29" ht="17.25" customHeight="1" x14ac:dyDescent="0.25">
      <c r="A25" s="224" t="s">
        <v>295</v>
      </c>
      <c r="B25" s="47"/>
      <c r="C25" s="48" t="s">
        <v>16</v>
      </c>
      <c r="D25" s="47">
        <v>7.56</v>
      </c>
      <c r="E25" s="49"/>
      <c r="F25" s="423">
        <v>1700</v>
      </c>
      <c r="G25" s="206">
        <f>F25/B10</f>
        <v>0.99941211052322165</v>
      </c>
      <c r="H25" s="206"/>
      <c r="I25" s="429"/>
      <c r="J25" s="50"/>
      <c r="K25" s="50"/>
      <c r="L25" s="51"/>
      <c r="M25" s="670"/>
      <c r="N25" s="269">
        <v>24667.8</v>
      </c>
      <c r="O25" s="667">
        <f>N25+N26+N27+N28</f>
        <v>30294.952499999999</v>
      </c>
      <c r="P25" s="668">
        <v>30294.952499999999</v>
      </c>
      <c r="Q25" s="44">
        <f>IF(L25&gt;P25,L25,P25)</f>
        <v>30294.952499999999</v>
      </c>
      <c r="R25" s="44"/>
      <c r="S25" s="44">
        <f>P25*G25</f>
        <v>30277.14241622575</v>
      </c>
      <c r="T25" s="696">
        <f t="shared" si="1"/>
        <v>9870.3484276895942</v>
      </c>
      <c r="U25" s="45">
        <f>SUM(S25:T25)</f>
        <v>40147.490843915344</v>
      </c>
      <c r="V25" s="492"/>
      <c r="W25" s="192"/>
      <c r="X25" s="160">
        <f t="shared" si="0"/>
        <v>40147.490843915344</v>
      </c>
      <c r="Z25" s="3"/>
      <c r="AA25" s="3"/>
      <c r="AB25" s="3"/>
      <c r="AC25" s="3"/>
    </row>
    <row r="26" spans="1:29" ht="18" customHeight="1" x14ac:dyDescent="0.25">
      <c r="A26" s="618" t="s">
        <v>293</v>
      </c>
      <c r="B26" s="52"/>
      <c r="C26" s="53" t="s">
        <v>16</v>
      </c>
      <c r="D26" s="52"/>
      <c r="E26" s="54"/>
      <c r="F26" s="52">
        <f>F25/2</f>
        <v>850</v>
      </c>
      <c r="G26" s="206">
        <v>1</v>
      </c>
      <c r="H26" s="420">
        <f>(N25/1700)*0.1</f>
        <v>1.4510470588235294</v>
      </c>
      <c r="I26" s="430">
        <v>0.5</v>
      </c>
      <c r="J26" s="56"/>
      <c r="K26" s="56"/>
      <c r="L26" s="57"/>
      <c r="M26" s="671"/>
      <c r="N26" s="674">
        <f>((N25/1700)*0.1)*F27</f>
        <v>616.69499999999994</v>
      </c>
      <c r="O26" s="675"/>
      <c r="P26" s="676"/>
      <c r="Q26" s="44"/>
      <c r="R26" s="44"/>
      <c r="S26" s="44"/>
      <c r="T26" s="696">
        <f t="shared" si="1"/>
        <v>0</v>
      </c>
      <c r="U26" s="45"/>
      <c r="V26" s="492"/>
      <c r="X26" s="160">
        <f t="shared" si="0"/>
        <v>0</v>
      </c>
      <c r="Z26" s="3"/>
      <c r="AA26" s="3"/>
      <c r="AB26" s="3"/>
      <c r="AC26" s="3"/>
    </row>
    <row r="27" spans="1:29" ht="18" customHeight="1" x14ac:dyDescent="0.25">
      <c r="A27" s="618" t="s">
        <v>292</v>
      </c>
      <c r="B27" s="52"/>
      <c r="C27" s="53"/>
      <c r="D27" s="52"/>
      <c r="E27" s="54">
        <f>E23</f>
        <v>0</v>
      </c>
      <c r="F27" s="52">
        <f>F21*I27</f>
        <v>425</v>
      </c>
      <c r="G27" s="206">
        <v>1</v>
      </c>
      <c r="H27" s="383"/>
      <c r="I27" s="430">
        <v>0.25</v>
      </c>
      <c r="J27" s="56"/>
      <c r="K27" s="56"/>
      <c r="L27" s="57"/>
      <c r="M27" s="670"/>
      <c r="N27" s="317">
        <f>(N25/1700)*I27*F27</f>
        <v>1541.7375</v>
      </c>
      <c r="O27" s="675"/>
      <c r="P27" s="676"/>
      <c r="Q27" s="44"/>
      <c r="R27" s="44"/>
      <c r="S27" s="44"/>
      <c r="T27" s="696">
        <f t="shared" si="1"/>
        <v>0</v>
      </c>
      <c r="U27" s="45"/>
      <c r="V27" s="492"/>
      <c r="X27" s="160">
        <f t="shared" si="0"/>
        <v>0</v>
      </c>
      <c r="Z27" s="3"/>
      <c r="AA27" s="3"/>
      <c r="AB27" s="3"/>
      <c r="AC27" s="3"/>
    </row>
    <row r="28" spans="1:29" ht="18" customHeight="1" x14ac:dyDescent="0.25">
      <c r="A28" s="214" t="s">
        <v>296</v>
      </c>
      <c r="B28" s="52"/>
      <c r="C28" s="53"/>
      <c r="D28" s="52"/>
      <c r="E28" s="54"/>
      <c r="F28" s="52">
        <v>12</v>
      </c>
      <c r="G28" s="383">
        <v>1</v>
      </c>
      <c r="H28" s="419">
        <v>289.06</v>
      </c>
      <c r="I28" s="417"/>
      <c r="J28" s="56"/>
      <c r="K28" s="56"/>
      <c r="L28" s="328"/>
      <c r="M28" s="672"/>
      <c r="N28" s="317">
        <f>F28*H28</f>
        <v>3468.7200000000003</v>
      </c>
      <c r="O28" s="675"/>
      <c r="P28" s="676"/>
      <c r="Q28" s="44"/>
      <c r="R28" s="44"/>
      <c r="S28" s="44"/>
      <c r="T28" s="696">
        <f t="shared" si="1"/>
        <v>0</v>
      </c>
      <c r="U28" s="45"/>
      <c r="V28" s="492"/>
      <c r="W28" s="20"/>
      <c r="X28" s="160">
        <f t="shared" si="0"/>
        <v>0</v>
      </c>
      <c r="Z28" s="3"/>
      <c r="AA28" s="3"/>
      <c r="AB28" s="3"/>
      <c r="AC28" s="3"/>
    </row>
    <row r="29" spans="1:29" ht="15.75" x14ac:dyDescent="0.25">
      <c r="A29" s="394" t="s">
        <v>297</v>
      </c>
      <c r="B29" s="395"/>
      <c r="C29" s="396"/>
      <c r="D29" s="395"/>
      <c r="E29" s="397"/>
      <c r="F29" s="395"/>
      <c r="G29" s="398"/>
      <c r="H29" s="398"/>
      <c r="I29" s="431"/>
      <c r="J29" s="399"/>
      <c r="K29" s="399"/>
      <c r="L29" s="400"/>
      <c r="M29" s="400"/>
      <c r="N29" s="401"/>
      <c r="O29" s="664"/>
      <c r="P29" s="747"/>
      <c r="Q29" s="393">
        <f>IF(L29&gt;P29,L29,P29)</f>
        <v>0</v>
      </c>
      <c r="R29" s="796"/>
      <c r="S29" s="725">
        <f>S30+S34+S42+S50</f>
        <v>1831723.4758648234</v>
      </c>
      <c r="T29" s="725"/>
      <c r="U29" s="437">
        <f>U30+U34+U42++U50</f>
        <v>2428865.3289967561</v>
      </c>
      <c r="V29" s="653">
        <f>U20+U29</f>
        <v>2534148.7836078671</v>
      </c>
      <c r="W29" s="624"/>
      <c r="X29" s="160"/>
      <c r="Z29" s="3"/>
      <c r="AA29" s="3"/>
      <c r="AB29" s="3"/>
      <c r="AC29" s="3"/>
    </row>
    <row r="30" spans="1:29" ht="15.75" x14ac:dyDescent="0.25">
      <c r="A30" s="403" t="s">
        <v>298</v>
      </c>
      <c r="B30" s="404"/>
      <c r="C30" s="405"/>
      <c r="D30" s="404"/>
      <c r="E30" s="406"/>
      <c r="F30" s="424">
        <v>8500</v>
      </c>
      <c r="G30" s="407">
        <f>F30/1700</f>
        <v>5</v>
      </c>
      <c r="H30" s="407"/>
      <c r="I30" s="432"/>
      <c r="J30" s="408"/>
      <c r="K30" s="408"/>
      <c r="L30" s="409"/>
      <c r="M30" s="619">
        <v>45328.68</v>
      </c>
      <c r="N30" s="612">
        <v>24667.8</v>
      </c>
      <c r="O30" s="667">
        <f>N30+N31+N32+N33</f>
        <v>32566.485000000001</v>
      </c>
      <c r="P30" s="412">
        <f>IF(M30&gt;O30,M30,O30)</f>
        <v>45328.68</v>
      </c>
      <c r="Q30" s="413"/>
      <c r="R30" s="684">
        <f>(P30-O30)/P30</f>
        <v>0.28154790741755548</v>
      </c>
      <c r="S30" s="691">
        <f>(89564.64+97699.47)</f>
        <v>187264.11</v>
      </c>
      <c r="T30" s="696">
        <f t="shared" si="1"/>
        <v>61048.099859999995</v>
      </c>
      <c r="U30" s="723">
        <f>S30+T30</f>
        <v>248312.20985999997</v>
      </c>
      <c r="V30" s="492"/>
      <c r="W30" s="624"/>
      <c r="X30" s="160">
        <f t="shared" ref="X30:X70" si="2">U30</f>
        <v>248312.20985999997</v>
      </c>
      <c r="Z30" s="3"/>
      <c r="AA30" s="3"/>
      <c r="AB30" s="3"/>
      <c r="AC30" s="3"/>
    </row>
    <row r="31" spans="1:29" ht="15.95" customHeight="1" x14ac:dyDescent="0.25">
      <c r="A31" s="618" t="s">
        <v>293</v>
      </c>
      <c r="B31" s="52"/>
      <c r="C31" s="53" t="s">
        <v>16</v>
      </c>
      <c r="D31" s="52"/>
      <c r="E31" s="54"/>
      <c r="F31" s="52">
        <f>F30*I31</f>
        <v>2125</v>
      </c>
      <c r="G31" s="417">
        <v>5</v>
      </c>
      <c r="H31" s="416">
        <f>(N30/1700)*0.1</f>
        <v>1.4510470588235294</v>
      </c>
      <c r="I31" s="430">
        <v>0.25</v>
      </c>
      <c r="J31" s="56"/>
      <c r="K31" s="56"/>
      <c r="L31" s="328"/>
      <c r="M31" s="571"/>
      <c r="N31" s="269">
        <f>(F31/G31)*H31</f>
        <v>616.69499999999994</v>
      </c>
      <c r="O31" s="673"/>
      <c r="P31" s="676"/>
      <c r="Q31" s="44"/>
      <c r="R31" s="44"/>
      <c r="S31" s="44"/>
      <c r="T31" s="696">
        <f t="shared" si="1"/>
        <v>0</v>
      </c>
      <c r="U31" s="45"/>
      <c r="V31" s="492"/>
      <c r="X31" s="160">
        <f t="shared" si="2"/>
        <v>0</v>
      </c>
      <c r="Z31" s="3"/>
      <c r="AA31" s="3"/>
      <c r="AB31" s="3"/>
      <c r="AC31" s="3"/>
    </row>
    <row r="32" spans="1:29" ht="15.95" customHeight="1" x14ac:dyDescent="0.25">
      <c r="A32" s="618" t="s">
        <v>282</v>
      </c>
      <c r="B32" s="52"/>
      <c r="C32" s="53"/>
      <c r="D32" s="52"/>
      <c r="E32" s="54"/>
      <c r="F32" s="52">
        <f>F30*I32</f>
        <v>3400</v>
      </c>
      <c r="G32" s="58">
        <f>F32/1700</f>
        <v>2</v>
      </c>
      <c r="H32" s="419">
        <f>(N30/1700)*0.25</f>
        <v>3.6276176470588233</v>
      </c>
      <c r="I32" s="430">
        <v>0.4</v>
      </c>
      <c r="J32" s="56"/>
      <c r="K32" s="56"/>
      <c r="L32" s="328"/>
      <c r="M32" s="687"/>
      <c r="N32" s="269">
        <f>(F32/2)*H32</f>
        <v>6166.95</v>
      </c>
      <c r="O32" s="673"/>
      <c r="P32" s="676"/>
      <c r="Q32" s="44"/>
      <c r="R32" s="44"/>
      <c r="S32" s="44"/>
      <c r="T32" s="696">
        <f t="shared" si="1"/>
        <v>0</v>
      </c>
      <c r="U32" s="45"/>
      <c r="V32" s="492"/>
      <c r="X32" s="160">
        <f t="shared" si="2"/>
        <v>0</v>
      </c>
      <c r="Z32" s="3"/>
      <c r="AA32" s="3"/>
      <c r="AB32" s="3"/>
      <c r="AC32" s="3"/>
    </row>
    <row r="33" spans="1:29" ht="15.95" customHeight="1" x14ac:dyDescent="0.25">
      <c r="A33" s="618" t="s">
        <v>301</v>
      </c>
      <c r="B33" s="52"/>
      <c r="C33" s="53"/>
      <c r="D33" s="52"/>
      <c r="E33" s="54"/>
      <c r="F33" s="52">
        <v>12</v>
      </c>
      <c r="G33" s="58">
        <v>2</v>
      </c>
      <c r="H33" s="419">
        <v>92.92</v>
      </c>
      <c r="I33" s="430"/>
      <c r="J33" s="56"/>
      <c r="K33" s="56"/>
      <c r="L33" s="328"/>
      <c r="M33" s="687"/>
      <c r="N33" s="269">
        <f>F33*H33</f>
        <v>1115.04</v>
      </c>
      <c r="O33" s="673"/>
      <c r="P33" s="676"/>
      <c r="Q33" s="44"/>
      <c r="R33" s="44"/>
      <c r="S33" s="44"/>
      <c r="T33" s="696">
        <f t="shared" si="1"/>
        <v>0</v>
      </c>
      <c r="U33" s="45"/>
      <c r="V33" s="492"/>
      <c r="X33" s="160">
        <f t="shared" si="2"/>
        <v>0</v>
      </c>
      <c r="Z33" s="3"/>
      <c r="AA33" s="3"/>
      <c r="AB33" s="3"/>
      <c r="AC33" s="3"/>
    </row>
    <row r="34" spans="1:29" ht="15.95" customHeight="1" x14ac:dyDescent="0.25">
      <c r="A34" s="215" t="s">
        <v>300</v>
      </c>
      <c r="B34" s="52"/>
      <c r="C34" s="444" t="s">
        <v>323</v>
      </c>
      <c r="D34" s="52"/>
      <c r="E34" s="54"/>
      <c r="F34" s="425">
        <v>57095.5</v>
      </c>
      <c r="G34" s="58">
        <f>F34/1700</f>
        <v>33.585588235294118</v>
      </c>
      <c r="H34" s="58"/>
      <c r="I34" s="430"/>
      <c r="J34" s="56"/>
      <c r="K34" s="56"/>
      <c r="L34" s="328"/>
      <c r="M34" s="619">
        <v>33980.04</v>
      </c>
      <c r="N34" s="269">
        <v>24667.8</v>
      </c>
      <c r="O34" s="667">
        <f>N34+N35+N36+N37</f>
        <v>36770.25</v>
      </c>
      <c r="P34" s="271">
        <f>IF(M34&gt;O34,M34,O34)</f>
        <v>36770.25</v>
      </c>
      <c r="Q34" s="44"/>
      <c r="R34" s="44"/>
      <c r="S34" s="44">
        <f>P34*G34</f>
        <v>1234950.4758088235</v>
      </c>
      <c r="T34" s="696">
        <f t="shared" si="1"/>
        <v>402593.85511367646</v>
      </c>
      <c r="U34" s="45">
        <f>SUM(S34:T34)</f>
        <v>1637544.3309225</v>
      </c>
      <c r="V34" s="492"/>
      <c r="W34" s="20"/>
      <c r="X34" s="160">
        <f t="shared" si="2"/>
        <v>1637544.3309225</v>
      </c>
      <c r="Z34" s="3"/>
      <c r="AA34" s="3"/>
      <c r="AB34" s="3"/>
      <c r="AC34" s="3"/>
    </row>
    <row r="35" spans="1:29" ht="15.95" customHeight="1" x14ac:dyDescent="0.25">
      <c r="A35" s="618" t="s">
        <v>293</v>
      </c>
      <c r="B35" s="52"/>
      <c r="C35" s="53"/>
      <c r="D35" s="52"/>
      <c r="E35" s="54"/>
      <c r="F35" s="52">
        <f>F34*I35</f>
        <v>11419.1</v>
      </c>
      <c r="G35" s="58">
        <f>F35/1700</f>
        <v>6.7171176470588234</v>
      </c>
      <c r="H35" s="419">
        <f>(N34/1700)*0.1</f>
        <v>1.4510470588235294</v>
      </c>
      <c r="I35" s="430">
        <v>0.2</v>
      </c>
      <c r="J35" s="56"/>
      <c r="K35" s="56"/>
      <c r="L35" s="328"/>
      <c r="M35" s="670"/>
      <c r="N35" s="269">
        <f>H35*(F35/G35)</f>
        <v>2466.7799999999997</v>
      </c>
      <c r="O35" s="673"/>
      <c r="P35" s="676"/>
      <c r="Q35" s="44"/>
      <c r="R35" s="44"/>
      <c r="S35" s="44"/>
      <c r="T35" s="696">
        <f t="shared" si="1"/>
        <v>0</v>
      </c>
      <c r="U35" s="45"/>
      <c r="V35" s="492"/>
      <c r="X35" s="160">
        <f t="shared" si="2"/>
        <v>0</v>
      </c>
      <c r="Z35" s="3"/>
      <c r="AA35" s="3"/>
      <c r="AB35" s="3"/>
      <c r="AC35" s="3"/>
    </row>
    <row r="36" spans="1:29" ht="15.95" customHeight="1" x14ac:dyDescent="0.25">
      <c r="A36" s="685" t="s">
        <v>282</v>
      </c>
      <c r="B36" s="52"/>
      <c r="C36" s="53"/>
      <c r="D36" s="52"/>
      <c r="E36" s="54"/>
      <c r="F36" s="52">
        <f>F34*I36</f>
        <v>22838.2</v>
      </c>
      <c r="G36" s="58">
        <f>F36/1700</f>
        <v>13.434235294117647</v>
      </c>
      <c r="H36" s="419">
        <f>(N34/1700)*0.25</f>
        <v>3.6276176470588233</v>
      </c>
      <c r="I36" s="430">
        <v>0.4</v>
      </c>
      <c r="J36" s="56"/>
      <c r="K36" s="56"/>
      <c r="L36" s="328"/>
      <c r="M36" s="670"/>
      <c r="N36" s="269">
        <f>H36*(F36/G36)</f>
        <v>6166.95</v>
      </c>
      <c r="O36" s="673"/>
      <c r="P36" s="676"/>
      <c r="Q36" s="44"/>
      <c r="R36" s="44"/>
      <c r="S36" s="44"/>
      <c r="T36" s="696">
        <f t="shared" si="1"/>
        <v>0</v>
      </c>
      <c r="U36" s="45"/>
      <c r="V36" s="492"/>
      <c r="X36" s="160">
        <f t="shared" si="2"/>
        <v>0</v>
      </c>
      <c r="Z36" s="3"/>
      <c r="AA36" s="3"/>
      <c r="AB36" s="3"/>
      <c r="AC36" s="3"/>
    </row>
    <row r="37" spans="1:29" ht="15.95" customHeight="1" x14ac:dyDescent="0.25">
      <c r="A37" s="686" t="s">
        <v>296</v>
      </c>
      <c r="B37" s="52"/>
      <c r="C37" s="53"/>
      <c r="D37" s="52"/>
      <c r="E37" s="54"/>
      <c r="F37" s="52">
        <v>12</v>
      </c>
      <c r="G37" s="58">
        <f>G34</f>
        <v>33.585588235294118</v>
      </c>
      <c r="H37" s="419">
        <v>289.06</v>
      </c>
      <c r="I37" s="430"/>
      <c r="J37" s="56"/>
      <c r="K37" s="56"/>
      <c r="L37" s="328"/>
      <c r="M37" s="670"/>
      <c r="N37" s="269">
        <f>H37*F37</f>
        <v>3468.7200000000003</v>
      </c>
      <c r="O37" s="673"/>
      <c r="P37" s="676"/>
      <c r="Q37" s="44"/>
      <c r="R37" s="44"/>
      <c r="S37" s="44"/>
      <c r="T37" s="696">
        <f t="shared" si="1"/>
        <v>0</v>
      </c>
      <c r="U37" s="45"/>
      <c r="V37" s="492"/>
      <c r="X37" s="160">
        <f t="shared" si="2"/>
        <v>0</v>
      </c>
      <c r="Z37" s="3"/>
      <c r="AA37" s="3"/>
      <c r="AB37" s="3"/>
      <c r="AC37" s="3"/>
    </row>
    <row r="38" spans="1:29" ht="15.95" customHeight="1" x14ac:dyDescent="0.25">
      <c r="A38" s="52" t="s">
        <v>322</v>
      </c>
      <c r="B38" s="441">
        <v>0.5</v>
      </c>
      <c r="C38" s="53" t="s">
        <v>16</v>
      </c>
      <c r="D38" s="52"/>
      <c r="E38" s="54"/>
      <c r="F38" s="52">
        <f>(F34/12)/2</f>
        <v>2378.9791666666665</v>
      </c>
      <c r="G38" s="58">
        <f>G34/2</f>
        <v>16.792794117647059</v>
      </c>
      <c r="H38" s="419"/>
      <c r="I38" s="430"/>
      <c r="J38" s="56"/>
      <c r="K38" s="56"/>
      <c r="L38" s="328"/>
      <c r="M38" s="51"/>
      <c r="N38" s="269">
        <f>N34/14</f>
        <v>1761.9857142857143</v>
      </c>
      <c r="O38" s="673"/>
      <c r="P38" s="271">
        <f>N38</f>
        <v>1761.9857142857143</v>
      </c>
      <c r="Q38" s="44"/>
      <c r="R38" s="44"/>
      <c r="S38" s="44"/>
      <c r="T38" s="696">
        <f t="shared" si="1"/>
        <v>0</v>
      </c>
      <c r="U38" s="45">
        <f>P38</f>
        <v>1761.9857142857143</v>
      </c>
      <c r="V38" s="492"/>
      <c r="X38" s="160">
        <f t="shared" si="2"/>
        <v>1761.9857142857143</v>
      </c>
      <c r="Z38" s="3"/>
      <c r="AA38" s="3"/>
      <c r="AB38" s="3"/>
      <c r="AC38" s="3"/>
    </row>
    <row r="39" spans="1:29" ht="15.95" customHeight="1" x14ac:dyDescent="0.25">
      <c r="A39" s="52" t="s">
        <v>326</v>
      </c>
      <c r="B39" s="441"/>
      <c r="C39" s="53" t="s">
        <v>16</v>
      </c>
      <c r="D39" s="52"/>
      <c r="E39" s="54"/>
      <c r="F39" s="52">
        <f>F38*0.4</f>
        <v>951.5916666666667</v>
      </c>
      <c r="G39" s="58">
        <v>16.79</v>
      </c>
      <c r="H39" s="419">
        <v>3.63</v>
      </c>
      <c r="I39" s="430">
        <v>0.4</v>
      </c>
      <c r="J39" s="56"/>
      <c r="K39" s="56"/>
      <c r="L39" s="328"/>
      <c r="M39" s="51"/>
      <c r="N39" s="269">
        <f>F39*H39</f>
        <v>3454.2777500000002</v>
      </c>
      <c r="O39" s="673"/>
      <c r="P39" s="271">
        <f>H39*F39</f>
        <v>3454.2777500000002</v>
      </c>
      <c r="Q39" s="44"/>
      <c r="R39" s="44"/>
      <c r="S39" s="44"/>
      <c r="T39" s="696">
        <f t="shared" si="1"/>
        <v>0</v>
      </c>
      <c r="U39" s="45">
        <f>P39</f>
        <v>3454.2777500000002</v>
      </c>
      <c r="V39" s="492"/>
      <c r="X39" s="160">
        <f t="shared" si="2"/>
        <v>3454.2777500000002</v>
      </c>
      <c r="Z39" s="3"/>
      <c r="AA39" s="3"/>
      <c r="AB39" s="3"/>
      <c r="AC39" s="3"/>
    </row>
    <row r="40" spans="1:29" ht="15.95" customHeight="1" x14ac:dyDescent="0.25">
      <c r="A40" s="52" t="s">
        <v>320</v>
      </c>
      <c r="B40" s="441"/>
      <c r="C40" s="53" t="s">
        <v>16</v>
      </c>
      <c r="D40" s="52"/>
      <c r="E40" s="54"/>
      <c r="F40" s="52"/>
      <c r="G40" s="58">
        <f>G38</f>
        <v>16.792794117647059</v>
      </c>
      <c r="H40" s="419">
        <f>289/12</f>
        <v>24.083333333333332</v>
      </c>
      <c r="I40" s="430"/>
      <c r="J40" s="56"/>
      <c r="K40" s="56"/>
      <c r="L40" s="328"/>
      <c r="M40" s="51"/>
      <c r="N40" s="269">
        <v>24.08</v>
      </c>
      <c r="O40" s="673"/>
      <c r="P40" s="271">
        <f>G40*H40</f>
        <v>404.4264583333333</v>
      </c>
      <c r="Q40" s="44"/>
      <c r="R40" s="44"/>
      <c r="S40" s="44"/>
      <c r="T40" s="696">
        <f t="shared" si="1"/>
        <v>0</v>
      </c>
      <c r="U40" s="45">
        <f>P40</f>
        <v>404.4264583333333</v>
      </c>
      <c r="V40" s="492"/>
      <c r="X40" s="160">
        <f t="shared" si="2"/>
        <v>404.4264583333333</v>
      </c>
      <c r="Z40" s="3"/>
      <c r="AA40" s="3"/>
      <c r="AB40" s="3"/>
      <c r="AC40" s="3"/>
    </row>
    <row r="41" spans="1:29" ht="15.95" customHeight="1" x14ac:dyDescent="0.25">
      <c r="A41" s="52" t="s">
        <v>327</v>
      </c>
      <c r="B41" s="441"/>
      <c r="C41" s="53" t="s">
        <v>16</v>
      </c>
      <c r="D41" s="52"/>
      <c r="E41" s="54"/>
      <c r="F41" s="52">
        <f>F38*0.2</f>
        <v>475.79583333333335</v>
      </c>
      <c r="G41" s="58">
        <f>G40</f>
        <v>16.792794117647059</v>
      </c>
      <c r="H41" s="419">
        <f>H35</f>
        <v>1.4510470588235294</v>
      </c>
      <c r="I41" s="430">
        <v>0.2</v>
      </c>
      <c r="J41" s="56"/>
      <c r="K41" s="56"/>
      <c r="L41" s="328"/>
      <c r="M41" s="51"/>
      <c r="N41" s="269">
        <f>F41*H41</f>
        <v>690.40214455882358</v>
      </c>
      <c r="O41" s="673"/>
      <c r="P41" s="271">
        <f>N41</f>
        <v>690.40214455882358</v>
      </c>
      <c r="Q41" s="44"/>
      <c r="R41" s="44"/>
      <c r="S41" s="44"/>
      <c r="T41" s="696">
        <f t="shared" si="1"/>
        <v>0</v>
      </c>
      <c r="U41" s="45">
        <f>P41</f>
        <v>690.40214455882358</v>
      </c>
      <c r="V41" s="492"/>
      <c r="X41" s="160">
        <f t="shared" si="2"/>
        <v>690.40214455882358</v>
      </c>
      <c r="Z41" s="3"/>
      <c r="AA41" s="3"/>
      <c r="AB41" s="3"/>
      <c r="AC41" s="3"/>
    </row>
    <row r="42" spans="1:29" ht="15.75" x14ac:dyDescent="0.25">
      <c r="A42" s="215" t="s">
        <v>302</v>
      </c>
      <c r="B42" s="52"/>
      <c r="C42" s="444" t="s">
        <v>323</v>
      </c>
      <c r="D42" s="52"/>
      <c r="E42" s="54"/>
      <c r="F42" s="425">
        <v>10705.41</v>
      </c>
      <c r="G42" s="58">
        <f>F42/1700</f>
        <v>6.2972999999999999</v>
      </c>
      <c r="H42" s="58"/>
      <c r="I42" s="417"/>
      <c r="J42" s="56"/>
      <c r="K42" s="56"/>
      <c r="L42" s="328"/>
      <c r="M42" s="619">
        <v>35400.720000000001</v>
      </c>
      <c r="N42" s="329">
        <v>24667.8</v>
      </c>
      <c r="O42" s="667">
        <f>N42+N43+N44+N45</f>
        <v>31096.655999999999</v>
      </c>
      <c r="P42" s="271">
        <f>IF(M42&gt;O42,M42,O42)</f>
        <v>35400.720000000001</v>
      </c>
      <c r="Q42" s="44"/>
      <c r="R42" s="684">
        <f>(P42-O42)/P42</f>
        <v>0.12158125597445481</v>
      </c>
      <c r="S42" s="44">
        <f>P42*G42</f>
        <v>222928.95405600002</v>
      </c>
      <c r="T42" s="696">
        <f t="shared" si="1"/>
        <v>72674.839022256012</v>
      </c>
      <c r="U42" s="45">
        <f>SUM(S42:T42)</f>
        <v>295603.79307825601</v>
      </c>
      <c r="V42" s="492"/>
      <c r="X42" s="160">
        <f t="shared" si="2"/>
        <v>295603.79307825601</v>
      </c>
      <c r="Z42" s="3"/>
      <c r="AA42" s="3"/>
      <c r="AB42" s="3"/>
      <c r="AC42" s="3"/>
    </row>
    <row r="43" spans="1:29" ht="15.75" x14ac:dyDescent="0.25">
      <c r="A43" s="618" t="s">
        <v>293</v>
      </c>
      <c r="B43" s="52"/>
      <c r="C43" s="53"/>
      <c r="D43" s="52"/>
      <c r="E43" s="54"/>
      <c r="F43" s="52">
        <f>F42*I43</f>
        <v>2141.0819999999999</v>
      </c>
      <c r="G43" s="58">
        <v>6.2972999999999999</v>
      </c>
      <c r="H43" s="419">
        <f>(N42/1700)*0.1</f>
        <v>1.4510470588235294</v>
      </c>
      <c r="I43" s="430">
        <v>0.2</v>
      </c>
      <c r="J43" s="56"/>
      <c r="K43" s="56"/>
      <c r="L43" s="328"/>
      <c r="M43" s="51"/>
      <c r="N43" s="329">
        <f>H43*(F43/G43)</f>
        <v>493.35599999999999</v>
      </c>
      <c r="O43" s="688"/>
      <c r="P43" s="688"/>
      <c r="Q43" s="44"/>
      <c r="R43" s="44"/>
      <c r="S43" s="44"/>
      <c r="T43" s="696">
        <f t="shared" si="1"/>
        <v>0</v>
      </c>
      <c r="U43" s="45">
        <f t="shared" ref="U43:U49" si="3">P43</f>
        <v>0</v>
      </c>
      <c r="V43" s="492"/>
      <c r="X43" s="160">
        <f t="shared" si="2"/>
        <v>0</v>
      </c>
      <c r="Z43" s="3"/>
      <c r="AA43" s="3"/>
      <c r="AB43" s="3"/>
      <c r="AC43" s="3"/>
    </row>
    <row r="44" spans="1:29" ht="15.75" x14ac:dyDescent="0.25">
      <c r="A44" s="618" t="s">
        <v>282</v>
      </c>
      <c r="B44" s="52"/>
      <c r="C44" s="53"/>
      <c r="D44" s="52"/>
      <c r="E44" s="54"/>
      <c r="F44" s="52">
        <f>F42*I44</f>
        <v>4282.1639999999998</v>
      </c>
      <c r="G44" s="58">
        <v>6.2972999999999999</v>
      </c>
      <c r="H44" s="58">
        <f>(N42/1700)*0.25</f>
        <v>3.6276176470588233</v>
      </c>
      <c r="I44" s="430">
        <v>0.4</v>
      </c>
      <c r="J44" s="56"/>
      <c r="K44" s="56"/>
      <c r="L44" s="328"/>
      <c r="M44" s="51"/>
      <c r="N44" s="329">
        <f>H44*(F44/G44)</f>
        <v>2466.7799999999997</v>
      </c>
      <c r="O44" s="688"/>
      <c r="P44" s="688"/>
      <c r="Q44" s="44"/>
      <c r="R44" s="44"/>
      <c r="S44" s="44"/>
      <c r="T44" s="696">
        <f t="shared" si="1"/>
        <v>0</v>
      </c>
      <c r="U44" s="45">
        <f t="shared" si="3"/>
        <v>0</v>
      </c>
      <c r="V44" s="492"/>
      <c r="X44" s="160">
        <f t="shared" si="2"/>
        <v>0</v>
      </c>
      <c r="Z44" s="3"/>
      <c r="AA44" s="3"/>
      <c r="AB44" s="3"/>
      <c r="AC44" s="3"/>
    </row>
    <row r="45" spans="1:29" ht="15.75" x14ac:dyDescent="0.25">
      <c r="A45" s="618" t="s">
        <v>296</v>
      </c>
      <c r="B45" s="52"/>
      <c r="C45" s="53"/>
      <c r="D45" s="52"/>
      <c r="E45" s="54"/>
      <c r="F45" s="52">
        <v>12</v>
      </c>
      <c r="G45" s="58">
        <v>6.2972999999999999</v>
      </c>
      <c r="H45" s="58">
        <v>289.06</v>
      </c>
      <c r="I45" s="430"/>
      <c r="J45" s="56"/>
      <c r="K45" s="56"/>
      <c r="L45" s="328"/>
      <c r="M45" s="51"/>
      <c r="N45" s="329">
        <f>F45*H45</f>
        <v>3468.7200000000003</v>
      </c>
      <c r="O45" s="688"/>
      <c r="P45" s="688"/>
      <c r="Q45" s="44"/>
      <c r="R45" s="44"/>
      <c r="S45" s="44"/>
      <c r="T45" s="696">
        <f t="shared" si="1"/>
        <v>0</v>
      </c>
      <c r="U45" s="45">
        <f t="shared" si="3"/>
        <v>0</v>
      </c>
      <c r="V45" s="492"/>
      <c r="X45" s="160">
        <f t="shared" si="2"/>
        <v>0</v>
      </c>
      <c r="Z45" s="3"/>
      <c r="AA45" s="3"/>
      <c r="AB45" s="3"/>
      <c r="AC45" s="3"/>
    </row>
    <row r="46" spans="1:29" ht="15.75" x14ac:dyDescent="0.25">
      <c r="A46" s="214" t="s">
        <v>325</v>
      </c>
      <c r="B46" s="52"/>
      <c r="C46" s="53" t="s">
        <v>16</v>
      </c>
      <c r="D46" s="52"/>
      <c r="E46" s="54"/>
      <c r="F46" s="52">
        <v>5352.5</v>
      </c>
      <c r="G46" s="58">
        <v>3.15</v>
      </c>
      <c r="H46" s="58"/>
      <c r="I46" s="430"/>
      <c r="J46" s="56"/>
      <c r="K46" s="56"/>
      <c r="L46" s="328"/>
      <c r="M46" s="51"/>
      <c r="N46" s="329">
        <f>(N34/14)</f>
        <v>1761.9857142857143</v>
      </c>
      <c r="O46" s="688"/>
      <c r="P46" s="688"/>
      <c r="Q46" s="44"/>
      <c r="R46" s="44"/>
      <c r="S46" s="44"/>
      <c r="T46" s="696">
        <f t="shared" si="1"/>
        <v>0</v>
      </c>
      <c r="U46" s="45">
        <f t="shared" si="3"/>
        <v>0</v>
      </c>
      <c r="V46" s="492"/>
      <c r="X46" s="160">
        <f t="shared" si="2"/>
        <v>0</v>
      </c>
      <c r="Z46" s="3"/>
      <c r="AA46" s="3"/>
      <c r="AB46" s="3"/>
      <c r="AC46" s="3"/>
    </row>
    <row r="47" spans="1:29" ht="15.75" x14ac:dyDescent="0.25">
      <c r="A47" s="214" t="s">
        <v>320</v>
      </c>
      <c r="B47" s="52"/>
      <c r="C47" s="53" t="s">
        <v>16</v>
      </c>
      <c r="D47" s="52"/>
      <c r="E47" s="54"/>
      <c r="F47" s="52">
        <v>1</v>
      </c>
      <c r="G47" s="58">
        <f>G46</f>
        <v>3.15</v>
      </c>
      <c r="H47" s="58">
        <v>289</v>
      </c>
      <c r="I47" s="430"/>
      <c r="J47" s="56"/>
      <c r="K47" s="56"/>
      <c r="L47" s="328"/>
      <c r="M47" s="51"/>
      <c r="N47" s="329">
        <f>H47</f>
        <v>289</v>
      </c>
      <c r="O47" s="688"/>
      <c r="P47" s="688"/>
      <c r="Q47" s="44"/>
      <c r="R47" s="44"/>
      <c r="S47" s="44"/>
      <c r="T47" s="696">
        <f t="shared" si="1"/>
        <v>0</v>
      </c>
      <c r="U47" s="45">
        <f t="shared" si="3"/>
        <v>0</v>
      </c>
      <c r="V47" s="492"/>
      <c r="X47" s="160">
        <f t="shared" si="2"/>
        <v>0</v>
      </c>
      <c r="Z47" s="3"/>
      <c r="AA47" s="3"/>
      <c r="AB47" s="3"/>
      <c r="AC47" s="3"/>
    </row>
    <row r="48" spans="1:29" ht="15.75" x14ac:dyDescent="0.25">
      <c r="A48" s="214" t="s">
        <v>321</v>
      </c>
      <c r="B48" s="52"/>
      <c r="C48" s="53" t="s">
        <v>16</v>
      </c>
      <c r="D48" s="52"/>
      <c r="E48" s="54"/>
      <c r="F48" s="52">
        <f>F46*I48</f>
        <v>1070.5</v>
      </c>
      <c r="G48" s="58">
        <v>3.15</v>
      </c>
      <c r="H48" s="58">
        <v>1.45</v>
      </c>
      <c r="I48" s="430">
        <v>0.2</v>
      </c>
      <c r="J48" s="56"/>
      <c r="K48" s="56"/>
      <c r="L48" s="328"/>
      <c r="M48" s="51"/>
      <c r="N48" s="329">
        <f>H48*F48</f>
        <v>1552.2249999999999</v>
      </c>
      <c r="O48" s="688"/>
      <c r="P48" s="271">
        <v>1552.2249999999999</v>
      </c>
      <c r="Q48" s="44"/>
      <c r="R48" s="44"/>
      <c r="S48" s="44"/>
      <c r="T48" s="696">
        <f t="shared" si="1"/>
        <v>0</v>
      </c>
      <c r="U48" s="45">
        <f t="shared" si="3"/>
        <v>1552.2249999999999</v>
      </c>
      <c r="V48" s="492"/>
      <c r="X48" s="160">
        <f t="shared" si="2"/>
        <v>1552.2249999999999</v>
      </c>
      <c r="Z48" s="3"/>
      <c r="AA48" s="3"/>
      <c r="AB48" s="3"/>
      <c r="AC48" s="3"/>
    </row>
    <row r="49" spans="1:29" ht="15.75" x14ac:dyDescent="0.25">
      <c r="A49" s="214" t="s">
        <v>319</v>
      </c>
      <c r="B49" s="52"/>
      <c r="C49" s="53" t="s">
        <v>16</v>
      </c>
      <c r="D49" s="52"/>
      <c r="E49" s="54"/>
      <c r="F49" s="52">
        <f>F46*0.4</f>
        <v>2141</v>
      </c>
      <c r="G49" s="58">
        <f>G48</f>
        <v>3.15</v>
      </c>
      <c r="H49" s="58">
        <f>H44</f>
        <v>3.6276176470588233</v>
      </c>
      <c r="I49" s="430">
        <v>0.4</v>
      </c>
      <c r="J49" s="56"/>
      <c r="K49" s="56"/>
      <c r="L49" s="328"/>
      <c r="M49" s="51"/>
      <c r="N49" s="329">
        <f>F49*H49</f>
        <v>7766.7293823529408</v>
      </c>
      <c r="O49" s="688"/>
      <c r="P49" s="271">
        <v>7766.7293823529408</v>
      </c>
      <c r="Q49" s="44"/>
      <c r="R49" s="44"/>
      <c r="S49" s="44"/>
      <c r="T49" s="696">
        <f t="shared" si="1"/>
        <v>0</v>
      </c>
      <c r="U49" s="45">
        <f t="shared" si="3"/>
        <v>7766.7293823529408</v>
      </c>
      <c r="V49" s="492"/>
      <c r="X49" s="160">
        <f t="shared" si="2"/>
        <v>7766.7293823529408</v>
      </c>
      <c r="Z49" s="3"/>
      <c r="AA49" s="3"/>
      <c r="AB49" s="3"/>
      <c r="AC49" s="3"/>
    </row>
    <row r="50" spans="1:29" ht="15.75" x14ac:dyDescent="0.25">
      <c r="A50" s="215" t="s">
        <v>303</v>
      </c>
      <c r="B50" s="52"/>
      <c r="C50" s="444" t="s">
        <v>323</v>
      </c>
      <c r="D50" s="52"/>
      <c r="E50" s="54"/>
      <c r="F50" s="427">
        <v>10200</v>
      </c>
      <c r="G50" s="58">
        <f>F50/1700</f>
        <v>6</v>
      </c>
      <c r="H50" s="58"/>
      <c r="I50" s="430"/>
      <c r="J50" s="56"/>
      <c r="K50" s="56"/>
      <c r="L50" s="328"/>
      <c r="M50" s="51"/>
      <c r="N50" s="329">
        <v>24667.8</v>
      </c>
      <c r="O50" s="667">
        <f>N50+N51+N52+N53</f>
        <v>31096.655999999999</v>
      </c>
      <c r="P50" s="271">
        <f>O50</f>
        <v>31096.655999999999</v>
      </c>
      <c r="Q50" s="44"/>
      <c r="R50" s="44" t="s">
        <v>424</v>
      </c>
      <c r="S50" s="44">
        <f>P50*G50</f>
        <v>186579.93599999999</v>
      </c>
      <c r="T50" s="696">
        <f t="shared" si="1"/>
        <v>60825.059135999996</v>
      </c>
      <c r="U50" s="45">
        <f>SUM(S50:T50)</f>
        <v>247404.99513599998</v>
      </c>
      <c r="V50" s="492"/>
      <c r="X50" s="160">
        <f t="shared" si="2"/>
        <v>247404.99513599998</v>
      </c>
      <c r="Z50" s="3"/>
      <c r="AA50" s="3"/>
      <c r="AB50" s="3"/>
      <c r="AC50" s="3"/>
    </row>
    <row r="51" spans="1:29" ht="15.75" x14ac:dyDescent="0.25">
      <c r="A51" s="618" t="s">
        <v>293</v>
      </c>
      <c r="B51" s="52"/>
      <c r="C51" s="53"/>
      <c r="D51" s="52"/>
      <c r="E51" s="54"/>
      <c r="F51" s="52">
        <f>F50*I51</f>
        <v>2040</v>
      </c>
      <c r="G51" s="58"/>
      <c r="H51" s="58">
        <f>(N50/1700)*0.1</f>
        <v>1.4510470588235294</v>
      </c>
      <c r="I51" s="430">
        <v>0.2</v>
      </c>
      <c r="J51" s="56"/>
      <c r="K51" s="56"/>
      <c r="L51" s="328"/>
      <c r="M51" s="51"/>
      <c r="N51" s="329">
        <f>(F51/6)*H51</f>
        <v>493.35599999999999</v>
      </c>
      <c r="O51" s="688"/>
      <c r="P51" s="688"/>
      <c r="Q51" s="44"/>
      <c r="R51" s="44"/>
      <c r="S51" s="44"/>
      <c r="T51" s="696">
        <f t="shared" si="1"/>
        <v>0</v>
      </c>
      <c r="U51" s="45">
        <f t="shared" ref="U51:U57" si="4">P51</f>
        <v>0</v>
      </c>
      <c r="V51" s="492"/>
      <c r="X51" s="160">
        <f t="shared" si="2"/>
        <v>0</v>
      </c>
      <c r="Z51" s="3"/>
      <c r="AA51" s="3"/>
      <c r="AB51" s="3"/>
      <c r="AC51" s="3"/>
    </row>
    <row r="52" spans="1:29" ht="15.75" x14ac:dyDescent="0.25">
      <c r="A52" s="618" t="s">
        <v>282</v>
      </c>
      <c r="B52" s="52"/>
      <c r="C52" s="53"/>
      <c r="D52" s="52"/>
      <c r="E52" s="54"/>
      <c r="F52" s="52">
        <f>F50*I52</f>
        <v>4080</v>
      </c>
      <c r="G52" s="58"/>
      <c r="H52" s="58">
        <f>(N50/1700)*0.25</f>
        <v>3.6276176470588233</v>
      </c>
      <c r="I52" s="421">
        <v>0.4</v>
      </c>
      <c r="J52" s="56"/>
      <c r="K52" s="56"/>
      <c r="L52" s="328"/>
      <c r="M52" s="51"/>
      <c r="N52" s="329">
        <f>(F52/6)*H52</f>
        <v>2466.7799999999997</v>
      </c>
      <c r="O52" s="688"/>
      <c r="P52" s="688"/>
      <c r="Q52" s="44"/>
      <c r="R52" s="44"/>
      <c r="S52" s="44"/>
      <c r="T52" s="696">
        <f t="shared" si="1"/>
        <v>0</v>
      </c>
      <c r="U52" s="45">
        <f t="shared" si="4"/>
        <v>0</v>
      </c>
      <c r="V52" s="492"/>
      <c r="X52" s="160">
        <f t="shared" si="2"/>
        <v>0</v>
      </c>
      <c r="Z52" s="3"/>
      <c r="AA52" s="3"/>
      <c r="AB52" s="3"/>
      <c r="AC52" s="3"/>
    </row>
    <row r="53" spans="1:29" ht="15.75" x14ac:dyDescent="0.25">
      <c r="A53" s="618" t="s">
        <v>296</v>
      </c>
      <c r="B53" s="52"/>
      <c r="C53" s="53"/>
      <c r="D53" s="52"/>
      <c r="E53" s="54"/>
      <c r="F53" s="52">
        <v>12</v>
      </c>
      <c r="G53" s="58"/>
      <c r="H53" s="58">
        <v>289.06</v>
      </c>
      <c r="I53" s="421"/>
      <c r="J53" s="56"/>
      <c r="K53" s="56"/>
      <c r="L53" s="328"/>
      <c r="M53" s="51"/>
      <c r="N53" s="329">
        <f>F53*H53</f>
        <v>3468.7200000000003</v>
      </c>
      <c r="O53" s="688"/>
      <c r="P53" s="688"/>
      <c r="Q53" s="44"/>
      <c r="R53" s="44"/>
      <c r="S53" s="44"/>
      <c r="T53" s="696">
        <f t="shared" si="1"/>
        <v>0</v>
      </c>
      <c r="U53" s="45">
        <f t="shared" si="4"/>
        <v>0</v>
      </c>
      <c r="V53" s="492"/>
      <c r="X53" s="160">
        <f t="shared" si="2"/>
        <v>0</v>
      </c>
      <c r="Z53" s="3"/>
      <c r="AA53" s="3"/>
      <c r="AB53" s="3"/>
      <c r="AC53" s="3"/>
    </row>
    <row r="54" spans="1:29" ht="15.75" x14ac:dyDescent="0.25">
      <c r="A54" s="214" t="s">
        <v>324</v>
      </c>
      <c r="B54" s="52"/>
      <c r="C54" s="53"/>
      <c r="D54" s="52"/>
      <c r="E54" s="54"/>
      <c r="F54" s="52">
        <f>(F50/12)</f>
        <v>850</v>
      </c>
      <c r="G54" s="58">
        <f>G50/2</f>
        <v>3</v>
      </c>
      <c r="H54" s="58"/>
      <c r="I54" s="421"/>
      <c r="J54" s="56"/>
      <c r="K54" s="56"/>
      <c r="L54" s="328"/>
      <c r="M54" s="51"/>
      <c r="N54" s="329">
        <f>(N50/14)</f>
        <v>1761.9857142857143</v>
      </c>
      <c r="O54" s="688"/>
      <c r="P54" s="271">
        <f>N54</f>
        <v>1761.9857142857143</v>
      </c>
      <c r="Q54" s="44"/>
      <c r="R54" s="44"/>
      <c r="S54" s="44"/>
      <c r="T54" s="696">
        <f t="shared" si="1"/>
        <v>0</v>
      </c>
      <c r="U54" s="45">
        <f t="shared" si="4"/>
        <v>1761.9857142857143</v>
      </c>
      <c r="V54" s="492"/>
      <c r="X54" s="160">
        <f t="shared" si="2"/>
        <v>1761.9857142857143</v>
      </c>
      <c r="Z54" s="3"/>
      <c r="AA54" s="3"/>
      <c r="AB54" s="3"/>
      <c r="AC54" s="3"/>
    </row>
    <row r="55" spans="1:29" ht="15.75" x14ac:dyDescent="0.25">
      <c r="A55" s="436" t="s">
        <v>293</v>
      </c>
      <c r="B55" s="47"/>
      <c r="C55" s="48"/>
      <c r="D55" s="47"/>
      <c r="E55" s="49"/>
      <c r="F55" s="47">
        <f>(F50/12)*20%</f>
        <v>170</v>
      </c>
      <c r="G55" s="246"/>
      <c r="H55" s="246">
        <v>1.45</v>
      </c>
      <c r="I55" s="445">
        <v>0.2</v>
      </c>
      <c r="J55" s="446"/>
      <c r="K55" s="446"/>
      <c r="L55" s="610"/>
      <c r="M55" s="51"/>
      <c r="N55" s="329">
        <f>(F55*H55)/3</f>
        <v>82.166666666666671</v>
      </c>
      <c r="O55" s="688"/>
      <c r="P55" s="447">
        <f>$N$55</f>
        <v>82.166666666666671</v>
      </c>
      <c r="Q55" s="448"/>
      <c r="R55" s="448"/>
      <c r="S55" s="448"/>
      <c r="T55" s="696">
        <f t="shared" si="1"/>
        <v>0</v>
      </c>
      <c r="U55" s="449">
        <f t="shared" si="4"/>
        <v>82.166666666666671</v>
      </c>
      <c r="V55" s="492"/>
      <c r="X55" s="160">
        <f t="shared" si="2"/>
        <v>82.166666666666671</v>
      </c>
      <c r="Z55" s="3"/>
      <c r="AA55" s="3"/>
      <c r="AB55" s="3"/>
      <c r="AC55" s="3"/>
    </row>
    <row r="56" spans="1:29" ht="15.75" x14ac:dyDescent="0.25">
      <c r="A56" s="214" t="s">
        <v>319</v>
      </c>
      <c r="B56" s="52"/>
      <c r="C56" s="53"/>
      <c r="D56" s="52"/>
      <c r="E56" s="54"/>
      <c r="F56" s="52">
        <f>(F50/12)*40%</f>
        <v>340</v>
      </c>
      <c r="G56" s="58">
        <v>3</v>
      </c>
      <c r="H56" s="58">
        <v>3.63</v>
      </c>
      <c r="I56" s="421"/>
      <c r="J56" s="56"/>
      <c r="K56" s="56"/>
      <c r="L56" s="328"/>
      <c r="M56" s="51"/>
      <c r="N56" s="329">
        <f>F56*H56</f>
        <v>1234.2</v>
      </c>
      <c r="O56" s="688"/>
      <c r="P56" s="689">
        <f>N56</f>
        <v>1234.2</v>
      </c>
      <c r="Q56" s="247"/>
      <c r="R56" s="247"/>
      <c r="S56" s="247"/>
      <c r="T56" s="696">
        <f t="shared" si="1"/>
        <v>0</v>
      </c>
      <c r="U56" s="46">
        <f t="shared" si="4"/>
        <v>1234.2</v>
      </c>
      <c r="V56" s="492"/>
      <c r="X56" s="160">
        <f t="shared" si="2"/>
        <v>1234.2</v>
      </c>
    </row>
    <row r="57" spans="1:29" ht="15.75" x14ac:dyDescent="0.25">
      <c r="A57" s="232" t="s">
        <v>328</v>
      </c>
      <c r="B57" s="7"/>
      <c r="C57" s="7"/>
      <c r="D57" s="7"/>
      <c r="E57" s="7"/>
      <c r="F57" s="119">
        <v>1</v>
      </c>
      <c r="G57" s="457">
        <v>3</v>
      </c>
      <c r="H57" s="458">
        <v>289</v>
      </c>
      <c r="I57" s="7"/>
      <c r="J57" s="7"/>
      <c r="K57" s="7"/>
      <c r="L57" s="365"/>
      <c r="M57" s="7"/>
      <c r="N57" s="459">
        <f>H57</f>
        <v>289</v>
      </c>
      <c r="O57" s="688"/>
      <c r="P57" s="689">
        <f>N57</f>
        <v>289</v>
      </c>
      <c r="Q57" s="247"/>
      <c r="R57" s="247"/>
      <c r="S57" s="247"/>
      <c r="T57" s="696">
        <f t="shared" si="1"/>
        <v>0</v>
      </c>
      <c r="U57" s="46">
        <f t="shared" si="4"/>
        <v>289</v>
      </c>
      <c r="V57" s="492"/>
      <c r="X57" s="160">
        <f t="shared" si="2"/>
        <v>289</v>
      </c>
    </row>
    <row r="58" spans="1:29" x14ac:dyDescent="0.25">
      <c r="A58" s="395" t="s">
        <v>124</v>
      </c>
      <c r="B58" s="395"/>
      <c r="C58" s="395"/>
      <c r="D58" s="395"/>
      <c r="E58" s="395"/>
      <c r="F58" s="395"/>
      <c r="G58" s="395"/>
      <c r="H58" s="395"/>
      <c r="I58" s="395"/>
      <c r="J58" s="395"/>
      <c r="K58" s="395"/>
      <c r="L58" s="395"/>
      <c r="M58" s="395"/>
      <c r="N58" s="395"/>
      <c r="O58" s="395">
        <f>O30+O34+O42+O50</f>
        <v>131530.04699999999</v>
      </c>
      <c r="P58" s="395">
        <f>P29+P30+P34</f>
        <v>82098.929999999993</v>
      </c>
      <c r="Q58" s="395"/>
      <c r="R58" s="395"/>
      <c r="S58" s="748">
        <f>SUM(S59:S66)</f>
        <v>381423.56999999995</v>
      </c>
      <c r="T58" s="395"/>
      <c r="U58" s="745">
        <f>SUM(U59:U69)</f>
        <v>505767.65381999995</v>
      </c>
      <c r="V58" s="653">
        <f>V29+U58</f>
        <v>3039916.4374278672</v>
      </c>
      <c r="X58" s="160">
        <f t="shared" si="2"/>
        <v>505767.65381999995</v>
      </c>
      <c r="Z58" s="3"/>
      <c r="AA58" s="3"/>
      <c r="AB58" s="3"/>
      <c r="AC58" s="3"/>
    </row>
    <row r="59" spans="1:29" x14ac:dyDescent="0.25">
      <c r="A59" s="435" t="s">
        <v>304</v>
      </c>
      <c r="B59" s="404"/>
      <c r="C59" s="405"/>
      <c r="D59" s="404"/>
      <c r="E59" s="406"/>
      <c r="F59" s="404">
        <v>6800</v>
      </c>
      <c r="G59" s="434">
        <f>F59/1700</f>
        <v>4</v>
      </c>
      <c r="H59" s="434"/>
      <c r="I59" s="434"/>
      <c r="J59" s="408"/>
      <c r="K59" s="408"/>
      <c r="L59" s="409"/>
      <c r="M59" s="620">
        <v>26010.48</v>
      </c>
      <c r="N59" s="614">
        <f>N50</f>
        <v>24667.8</v>
      </c>
      <c r="O59" s="667">
        <f>N59+N60</f>
        <v>25782.84</v>
      </c>
      <c r="P59" s="412">
        <f>IF(M59&gt;O59,M59,O59)</f>
        <v>26010.48</v>
      </c>
      <c r="Q59" s="413"/>
      <c r="R59" s="413"/>
      <c r="S59" s="413">
        <v>105462.6</v>
      </c>
      <c r="T59" s="696">
        <f t="shared" si="1"/>
        <v>34380.8076</v>
      </c>
      <c r="U59" s="414">
        <f>SUM(S59:T59)</f>
        <v>139843.40760000001</v>
      </c>
      <c r="V59" s="492"/>
      <c r="X59" s="160">
        <f t="shared" si="2"/>
        <v>139843.40760000001</v>
      </c>
      <c r="Z59" s="3"/>
      <c r="AA59" s="3"/>
      <c r="AB59" s="3"/>
      <c r="AC59" s="3"/>
    </row>
    <row r="60" spans="1:29" ht="15.75" x14ac:dyDescent="0.25">
      <c r="A60" s="435" t="s">
        <v>301</v>
      </c>
      <c r="B60" s="404"/>
      <c r="C60" s="405"/>
      <c r="D60" s="404"/>
      <c r="E60" s="406"/>
      <c r="F60" s="404">
        <v>12</v>
      </c>
      <c r="G60" s="434">
        <v>1</v>
      </c>
      <c r="H60" s="407">
        <v>92.92</v>
      </c>
      <c r="I60" s="434"/>
      <c r="J60" s="408"/>
      <c r="K60" s="408"/>
      <c r="L60" s="409"/>
      <c r="M60" s="620">
        <v>37239.96</v>
      </c>
      <c r="N60" s="614">
        <f>F60*G60*H60</f>
        <v>1115.04</v>
      </c>
      <c r="O60" s="688"/>
      <c r="P60" s="688"/>
      <c r="Q60" s="413"/>
      <c r="R60" s="413"/>
      <c r="S60" s="413">
        <f>M60*G60</f>
        <v>37239.96</v>
      </c>
      <c r="T60" s="696">
        <f t="shared" si="1"/>
        <v>12140.22696</v>
      </c>
      <c r="U60" s="414">
        <f t="shared" ref="U60:U69" si="5">SUM(S60:T60)</f>
        <v>49380.186959999999</v>
      </c>
      <c r="V60" s="492"/>
      <c r="X60" s="160">
        <f t="shared" si="2"/>
        <v>49380.186959999999</v>
      </c>
      <c r="Z60" s="3"/>
      <c r="AA60" s="3"/>
      <c r="AB60" s="3"/>
      <c r="AC60" s="3"/>
    </row>
    <row r="61" spans="1:29" ht="15.75" x14ac:dyDescent="0.25">
      <c r="A61" s="214" t="s">
        <v>305</v>
      </c>
      <c r="B61" s="52"/>
      <c r="C61" s="53"/>
      <c r="D61" s="52"/>
      <c r="E61" s="54"/>
      <c r="F61" s="52">
        <v>1226.83</v>
      </c>
      <c r="G61" s="58">
        <v>2</v>
      </c>
      <c r="H61" s="58"/>
      <c r="I61" s="58"/>
      <c r="J61" s="56"/>
      <c r="K61" s="56"/>
      <c r="L61" s="328"/>
      <c r="M61" s="670"/>
      <c r="N61" s="269">
        <v>24667.8</v>
      </c>
      <c r="O61" s="688"/>
      <c r="P61" s="665">
        <f>((N59/12)*3.3)</f>
        <v>6783.6449999999995</v>
      </c>
      <c r="Q61" s="44"/>
      <c r="R61" s="44"/>
      <c r="S61" s="44">
        <f>P61*G61</f>
        <v>13567.289999999999</v>
      </c>
      <c r="T61" s="696">
        <f t="shared" si="1"/>
        <v>4422.9365399999997</v>
      </c>
      <c r="U61" s="414">
        <f t="shared" si="5"/>
        <v>17990.22654</v>
      </c>
      <c r="V61" s="492"/>
      <c r="X61" s="160">
        <f t="shared" si="2"/>
        <v>17990.22654</v>
      </c>
      <c r="Z61" s="3"/>
      <c r="AA61" s="3"/>
      <c r="AB61" s="3"/>
      <c r="AC61" s="3"/>
    </row>
    <row r="62" spans="1:29" x14ac:dyDescent="0.25">
      <c r="A62" s="214" t="s">
        <v>306</v>
      </c>
      <c r="B62" s="52"/>
      <c r="C62" s="53"/>
      <c r="D62" s="52"/>
      <c r="E62" s="54"/>
      <c r="F62" s="52">
        <v>5100</v>
      </c>
      <c r="G62" s="58">
        <f t="shared" ref="G62:G69" si="6">F62/1700</f>
        <v>3</v>
      </c>
      <c r="H62" s="58"/>
      <c r="I62" s="55"/>
      <c r="J62" s="56"/>
      <c r="K62" s="56"/>
      <c r="L62" s="328"/>
      <c r="M62" s="619">
        <v>22765.439999999999</v>
      </c>
      <c r="N62" s="269">
        <v>22319.08</v>
      </c>
      <c r="O62" s="667">
        <f>N62</f>
        <v>22319.08</v>
      </c>
      <c r="P62" s="271">
        <f>IF(M62&gt;O62,M62,O62)</f>
        <v>22765.439999999999</v>
      </c>
      <c r="Q62" s="44"/>
      <c r="R62" s="44"/>
      <c r="S62" s="44">
        <f>P62*G62</f>
        <v>68296.319999999992</v>
      </c>
      <c r="T62" s="696">
        <f t="shared" si="1"/>
        <v>22264.600319999998</v>
      </c>
      <c r="U62" s="414">
        <f t="shared" si="5"/>
        <v>90560.92031999999</v>
      </c>
      <c r="V62" s="492"/>
      <c r="X62" s="160">
        <f t="shared" si="2"/>
        <v>90560.92031999999</v>
      </c>
      <c r="Z62" s="3"/>
      <c r="AA62" s="3"/>
      <c r="AB62" s="3"/>
      <c r="AC62" s="3"/>
    </row>
    <row r="63" spans="1:29" x14ac:dyDescent="0.25">
      <c r="A63" s="214" t="s">
        <v>307</v>
      </c>
      <c r="B63" s="52"/>
      <c r="C63" s="53"/>
      <c r="D63" s="52"/>
      <c r="E63" s="54"/>
      <c r="F63" s="52">
        <v>3400</v>
      </c>
      <c r="G63" s="58">
        <f t="shared" si="6"/>
        <v>2</v>
      </c>
      <c r="H63" s="58"/>
      <c r="I63" s="55"/>
      <c r="J63" s="56"/>
      <c r="K63" s="56"/>
      <c r="L63" s="328"/>
      <c r="M63" s="615">
        <v>29299.08</v>
      </c>
      <c r="N63" s="269">
        <v>24667.8</v>
      </c>
      <c r="O63" s="667">
        <f>N63</f>
        <v>24667.8</v>
      </c>
      <c r="P63" s="271">
        <f>IF(M63&gt;O63,M63,O63)</f>
        <v>29299.08</v>
      </c>
      <c r="Q63" s="44"/>
      <c r="R63" s="44"/>
      <c r="S63" s="44">
        <f>P63*G63</f>
        <v>58598.16</v>
      </c>
      <c r="T63" s="696">
        <f t="shared" si="1"/>
        <v>19103.000160000003</v>
      </c>
      <c r="U63" s="414">
        <f t="shared" si="5"/>
        <v>77701.160159999999</v>
      </c>
      <c r="V63" s="492"/>
      <c r="X63" s="160">
        <f t="shared" si="2"/>
        <v>77701.160159999999</v>
      </c>
      <c r="Z63" s="3"/>
      <c r="AA63" s="3"/>
      <c r="AB63" s="3"/>
      <c r="AC63" s="3"/>
    </row>
    <row r="64" spans="1:29" x14ac:dyDescent="0.25">
      <c r="A64" s="214" t="s">
        <v>308</v>
      </c>
      <c r="B64" s="52"/>
      <c r="C64" s="53"/>
      <c r="D64" s="52"/>
      <c r="E64" s="54"/>
      <c r="F64" s="52">
        <v>1700</v>
      </c>
      <c r="G64" s="58">
        <f t="shared" si="6"/>
        <v>1</v>
      </c>
      <c r="H64" s="58"/>
      <c r="I64" s="55"/>
      <c r="J64" s="56"/>
      <c r="K64" s="56"/>
      <c r="L64" s="328"/>
      <c r="M64" s="615">
        <v>29299.08</v>
      </c>
      <c r="N64" s="269">
        <v>24667.8</v>
      </c>
      <c r="O64" s="667">
        <v>29299.08</v>
      </c>
      <c r="P64" s="271">
        <f>IF(M64&gt;O64,M64,O64)</f>
        <v>29299.08</v>
      </c>
      <c r="Q64" s="44"/>
      <c r="R64" s="44"/>
      <c r="S64" s="44">
        <f t="shared" ref="S64:S65" si="7">P64*G64</f>
        <v>29299.08</v>
      </c>
      <c r="T64" s="696">
        <f t="shared" si="1"/>
        <v>9551.5000800000016</v>
      </c>
      <c r="U64" s="414">
        <f t="shared" si="5"/>
        <v>38850.58008</v>
      </c>
      <c r="V64" s="492"/>
      <c r="X64" s="160">
        <f t="shared" si="2"/>
        <v>38850.58008</v>
      </c>
      <c r="Z64" s="3"/>
      <c r="AA64" s="3"/>
      <c r="AB64" s="3"/>
      <c r="AC64" s="3"/>
    </row>
    <row r="65" spans="1:29" x14ac:dyDescent="0.25">
      <c r="A65" s="436" t="s">
        <v>309</v>
      </c>
      <c r="B65" s="47"/>
      <c r="C65" s="48"/>
      <c r="D65" s="47">
        <v>7.56</v>
      </c>
      <c r="E65" s="49">
        <v>37.799999999999997</v>
      </c>
      <c r="F65" s="47">
        <v>3400</v>
      </c>
      <c r="G65" s="246">
        <f t="shared" si="6"/>
        <v>2</v>
      </c>
      <c r="H65" s="246"/>
      <c r="I65" s="246"/>
      <c r="J65" s="50"/>
      <c r="K65" s="50"/>
      <c r="L65" s="610"/>
      <c r="M65" s="619">
        <v>24149.52</v>
      </c>
      <c r="N65" s="269">
        <v>22319</v>
      </c>
      <c r="O65" s="667">
        <v>22765.439999999999</v>
      </c>
      <c r="P65" s="271">
        <f>IF(M65&gt;O65,M65,O65)</f>
        <v>24149.52</v>
      </c>
      <c r="Q65" s="247">
        <f>IF(L65&gt;P65,L65,P65)</f>
        <v>24149.52</v>
      </c>
      <c r="R65" s="677"/>
      <c r="S65" s="44">
        <f t="shared" si="7"/>
        <v>48299.040000000001</v>
      </c>
      <c r="T65" s="696">
        <f t="shared" si="1"/>
        <v>15745.48704</v>
      </c>
      <c r="U65" s="414">
        <f t="shared" si="5"/>
        <v>64044.527040000001</v>
      </c>
      <c r="V65" s="492"/>
      <c r="X65" s="160">
        <f t="shared" si="2"/>
        <v>64044.527040000001</v>
      </c>
      <c r="Z65" s="3"/>
      <c r="AA65" s="3"/>
      <c r="AB65" s="3"/>
      <c r="AC65" s="3"/>
    </row>
    <row r="66" spans="1:29" x14ac:dyDescent="0.25">
      <c r="A66" s="436" t="s">
        <v>310</v>
      </c>
      <c r="B66" s="47"/>
      <c r="C66" s="48"/>
      <c r="D66" s="47"/>
      <c r="E66" s="49"/>
      <c r="F66" s="47">
        <v>1700</v>
      </c>
      <c r="G66" s="246">
        <f t="shared" si="6"/>
        <v>1</v>
      </c>
      <c r="H66" s="246"/>
      <c r="I66" s="246"/>
      <c r="J66" s="50"/>
      <c r="K66" s="50"/>
      <c r="L66" s="610"/>
      <c r="M66" s="615">
        <v>20661.12</v>
      </c>
      <c r="N66" s="269">
        <v>19546.099999999999</v>
      </c>
      <c r="O66" s="667">
        <f>N66+N68+N67</f>
        <v>20165.570617894115</v>
      </c>
      <c r="P66" s="271">
        <f>IF(M66&gt;O66,M66,O66)</f>
        <v>20661.12</v>
      </c>
      <c r="Q66" s="247"/>
      <c r="R66" s="677"/>
      <c r="S66" s="677">
        <f>P66</f>
        <v>20661.12</v>
      </c>
      <c r="T66" s="696">
        <f t="shared" si="1"/>
        <v>6735.5251200000002</v>
      </c>
      <c r="U66" s="414">
        <f t="shared" si="5"/>
        <v>27396.645120000001</v>
      </c>
      <c r="V66" s="492"/>
      <c r="X66" s="160">
        <f t="shared" si="2"/>
        <v>27396.645120000001</v>
      </c>
      <c r="Z66" s="3"/>
      <c r="AA66" s="3"/>
      <c r="AB66" s="3"/>
      <c r="AC66" s="3"/>
    </row>
    <row r="67" spans="1:29" ht="15.75" x14ac:dyDescent="0.25">
      <c r="A67" s="690" t="s">
        <v>293</v>
      </c>
      <c r="B67" s="47"/>
      <c r="C67" s="48"/>
      <c r="D67" s="47"/>
      <c r="E67" s="49"/>
      <c r="F67" s="47">
        <f>F66*I67</f>
        <v>340</v>
      </c>
      <c r="G67" s="246">
        <f>(19546.1/1700)*0.1</f>
        <v>1.1497705882352942</v>
      </c>
      <c r="H67" s="202">
        <f>F67*G67</f>
        <v>390.92200000000003</v>
      </c>
      <c r="I67" s="445">
        <v>0.2</v>
      </c>
      <c r="J67" s="50"/>
      <c r="K67" s="50"/>
      <c r="L67" s="610"/>
      <c r="M67" s="615"/>
      <c r="N67" s="269">
        <f>H67*G67</f>
        <v>449.47061789411771</v>
      </c>
      <c r="O67" s="268"/>
      <c r="P67" s="688"/>
      <c r="Q67" s="247"/>
      <c r="R67" s="677"/>
      <c r="S67" s="677"/>
      <c r="T67" s="696">
        <f t="shared" si="1"/>
        <v>0</v>
      </c>
      <c r="U67" s="414">
        <f t="shared" si="5"/>
        <v>0</v>
      </c>
      <c r="V67" s="492"/>
      <c r="X67" s="160">
        <f t="shared" si="2"/>
        <v>0</v>
      </c>
      <c r="Z67" s="3"/>
      <c r="AA67" s="3"/>
      <c r="AB67" s="3"/>
      <c r="AC67" s="3"/>
    </row>
    <row r="68" spans="1:29" ht="15.75" x14ac:dyDescent="0.25">
      <c r="A68" s="690" t="s">
        <v>416</v>
      </c>
      <c r="B68" s="47"/>
      <c r="C68" s="48"/>
      <c r="D68" s="47"/>
      <c r="E68" s="49"/>
      <c r="F68" s="47">
        <f>(F66*I68)*0.25</f>
        <v>170</v>
      </c>
      <c r="G68" s="246">
        <f>'SALARIS CONVENI 2024'!$E$12</f>
        <v>2.8344112529002317</v>
      </c>
      <c r="H68" s="246"/>
      <c r="I68" s="445">
        <v>0.4</v>
      </c>
      <c r="J68" s="50"/>
      <c r="K68" s="50"/>
      <c r="L68" s="610"/>
      <c r="M68" s="615"/>
      <c r="N68" s="269">
        <f>F68</f>
        <v>170</v>
      </c>
      <c r="O68" s="268"/>
      <c r="P68" s="688"/>
      <c r="Q68" s="247"/>
      <c r="R68" s="677"/>
      <c r="S68" s="677"/>
      <c r="T68" s="696">
        <f t="shared" si="1"/>
        <v>0</v>
      </c>
      <c r="U68" s="414">
        <f t="shared" si="5"/>
        <v>0</v>
      </c>
      <c r="V68" s="492"/>
      <c r="X68" s="160">
        <f t="shared" si="2"/>
        <v>0</v>
      </c>
      <c r="Z68" s="3"/>
      <c r="AA68" s="3"/>
      <c r="AB68" s="3"/>
      <c r="AC68" s="3"/>
    </row>
    <row r="69" spans="1:29" x14ac:dyDescent="0.25">
      <c r="A69" s="436" t="s">
        <v>329</v>
      </c>
      <c r="B69" s="47"/>
      <c r="C69" s="464" t="s">
        <v>323</v>
      </c>
      <c r="D69" s="47"/>
      <c r="E69" s="49"/>
      <c r="F69" s="47">
        <v>141.66999999999999</v>
      </c>
      <c r="G69" s="246">
        <f t="shared" si="6"/>
        <v>8.3335294117647049E-2</v>
      </c>
      <c r="H69" s="246"/>
      <c r="I69" s="246"/>
      <c r="J69" s="50"/>
      <c r="K69" s="50"/>
      <c r="L69" s="51"/>
      <c r="M69" s="51"/>
      <c r="N69" s="269">
        <f>O66/14</f>
        <v>1440.397901278151</v>
      </c>
      <c r="O69" s="268"/>
      <c r="P69" s="271">
        <v>1440.397901278151</v>
      </c>
      <c r="Q69" s="247"/>
      <c r="R69" s="677"/>
      <c r="S69" s="677"/>
      <c r="T69" s="696">
        <f t="shared" si="1"/>
        <v>0</v>
      </c>
      <c r="U69" s="414">
        <f t="shared" si="5"/>
        <v>0</v>
      </c>
      <c r="V69" s="492"/>
      <c r="X69" s="160">
        <f t="shared" si="2"/>
        <v>0</v>
      </c>
      <c r="Z69" s="3"/>
      <c r="AA69" s="3"/>
      <c r="AB69" s="3"/>
      <c r="AC69" s="3"/>
    </row>
    <row r="70" spans="1:29" x14ac:dyDescent="0.25">
      <c r="A70" s="731" t="s">
        <v>314</v>
      </c>
      <c r="B70" s="731"/>
      <c r="C70" s="731"/>
      <c r="D70" s="731"/>
      <c r="E70" s="731"/>
      <c r="F70" s="731"/>
      <c r="G70" s="731"/>
      <c r="H70" s="731"/>
      <c r="I70" s="731"/>
      <c r="J70" s="731"/>
      <c r="K70" s="731"/>
      <c r="L70" s="731"/>
      <c r="M70" s="731"/>
      <c r="N70" s="731"/>
      <c r="O70" s="731">
        <f>SUM(O62:O69)</f>
        <v>119216.97061789413</v>
      </c>
      <c r="P70" s="731">
        <f>SUM(P61:P66)</f>
        <v>132957.88500000001</v>
      </c>
      <c r="Q70" s="731"/>
      <c r="R70" s="731"/>
      <c r="S70" s="725">
        <f>S71</f>
        <v>39092</v>
      </c>
      <c r="T70" s="731">
        <f t="shared" si="1"/>
        <v>12743.992</v>
      </c>
      <c r="U70" s="731">
        <f>SUM(U71)</f>
        <v>51835.991999999998</v>
      </c>
      <c r="V70" s="654">
        <f>V58+U70</f>
        <v>3091752.4294278673</v>
      </c>
      <c r="X70" s="160">
        <f t="shared" si="2"/>
        <v>51835.991999999998</v>
      </c>
      <c r="Z70" s="3"/>
      <c r="AA70" s="3"/>
      <c r="AB70" s="3"/>
      <c r="AC70" s="3"/>
    </row>
    <row r="71" spans="1:29" ht="15.75" thickBot="1" x14ac:dyDescent="0.3">
      <c r="A71" s="481" t="s">
        <v>315</v>
      </c>
      <c r="B71" s="736"/>
      <c r="C71" s="737"/>
      <c r="D71" s="736"/>
      <c r="E71" s="738"/>
      <c r="F71" s="736">
        <v>3400</v>
      </c>
      <c r="G71" s="739">
        <f>F71/1700</f>
        <v>2</v>
      </c>
      <c r="H71" s="739"/>
      <c r="I71" s="740"/>
      <c r="J71" s="741"/>
      <c r="K71" s="741"/>
      <c r="L71" s="742"/>
      <c r="M71" s="742"/>
      <c r="N71" s="614">
        <v>19546</v>
      </c>
      <c r="O71" s="614"/>
      <c r="P71" s="743"/>
      <c r="Q71" s="744"/>
      <c r="R71" s="750">
        <f>(R21+R30+R42+R58+R70)/5</f>
        <v>0.12752352497545213</v>
      </c>
      <c r="S71" s="751">
        <f>N71*G71</f>
        <v>39092</v>
      </c>
      <c r="T71" s="751">
        <f>S71*B12</f>
        <v>12743.992</v>
      </c>
      <c r="U71" s="751">
        <f>S71+T71</f>
        <v>51835.991999999998</v>
      </c>
      <c r="V71" s="492"/>
      <c r="X71" s="160">
        <v>51835.991999999998</v>
      </c>
      <c r="Z71" s="3"/>
      <c r="AA71" s="3"/>
      <c r="AB71" s="3"/>
      <c r="AC71" s="3"/>
    </row>
    <row r="72" spans="1:29" ht="28.5" customHeight="1" thickBot="1" x14ac:dyDescent="0.3">
      <c r="A72" s="225" t="s">
        <v>44</v>
      </c>
      <c r="B72" s="732"/>
      <c r="C72" s="732"/>
      <c r="D72" s="732"/>
      <c r="E72" s="733">
        <f>(E20+E25+E65)/5</f>
        <v>7.56</v>
      </c>
      <c r="F72" s="734">
        <f>SUM(F20:F71)</f>
        <v>185971.32266666667</v>
      </c>
      <c r="G72" s="735">
        <f>G20+G25+G29+G42+G58+G61+G62+G63+G64+G65+G66</f>
        <v>18.296712110523224</v>
      </c>
      <c r="H72" s="733"/>
      <c r="I72" s="733"/>
      <c r="J72" s="336"/>
      <c r="K72" s="336"/>
      <c r="L72" s="333">
        <f>SUM(L20:L65)</f>
        <v>0</v>
      </c>
      <c r="M72" s="333"/>
      <c r="N72" s="333">
        <f>SUM(N20:N65)</f>
        <v>364543.04583643557</v>
      </c>
      <c r="O72" s="333"/>
      <c r="P72" s="337">
        <f>SUM(P20:P71)</f>
        <v>622505.27523176139</v>
      </c>
      <c r="Q72" s="679">
        <f>SUM(Q20:Q65)</f>
        <v>54444.472500000003</v>
      </c>
      <c r="R72" s="752"/>
      <c r="S72" s="753">
        <f>S70+S58+S29+S20</f>
        <v>2331638.3329018601</v>
      </c>
      <c r="T72" s="754">
        <f>SUM(T21:T69)</f>
        <v>747370.10452600662</v>
      </c>
      <c r="U72" s="755">
        <f>S72+T72</f>
        <v>3079008.4374278667</v>
      </c>
      <c r="V72" s="655">
        <f>U70+U58+U29+U20</f>
        <v>3091752.4294278673</v>
      </c>
      <c r="W72" s="20"/>
      <c r="X72" s="577">
        <f>SUM(X21:X71)</f>
        <v>3668353.4740783507</v>
      </c>
      <c r="Y72" s="571"/>
      <c r="Z72" s="67"/>
      <c r="AA72" s="67"/>
      <c r="AB72" s="67"/>
      <c r="AC72" s="67"/>
    </row>
    <row r="73" spans="1:29" s="2" customFormat="1" ht="12.6" customHeight="1" thickBot="1" x14ac:dyDescent="0.3">
      <c r="A73" s="226"/>
      <c r="B73" s="68"/>
      <c r="C73" s="68"/>
      <c r="D73" s="68"/>
      <c r="E73" s="69"/>
      <c r="F73" s="70"/>
      <c r="G73" s="71"/>
      <c r="H73" s="69"/>
      <c r="I73" s="69"/>
      <c r="J73" s="72"/>
      <c r="K73" s="72"/>
      <c r="L73" s="73"/>
      <c r="M73" s="73"/>
      <c r="N73" s="73"/>
      <c r="O73" s="73"/>
      <c r="P73" s="74"/>
      <c r="Q73" s="75"/>
      <c r="R73" s="678"/>
      <c r="S73" s="678"/>
      <c r="T73" s="678"/>
      <c r="U73" s="248"/>
      <c r="V73" s="90"/>
      <c r="X73" s="578"/>
      <c r="Z73" s="5"/>
      <c r="AA73" s="5"/>
      <c r="AB73" s="5"/>
      <c r="AC73" s="5"/>
    </row>
    <row r="74" spans="1:29" ht="30" customHeight="1" thickTop="1" thickBot="1" x14ac:dyDescent="0.3">
      <c r="A74" s="222" t="s">
        <v>45</v>
      </c>
      <c r="B74" s="59"/>
      <c r="C74" s="59"/>
      <c r="D74" s="59"/>
      <c r="E74" s="60"/>
      <c r="F74" s="76"/>
      <c r="G74" s="62"/>
      <c r="H74" s="60"/>
      <c r="I74" s="60"/>
      <c r="J74" s="63"/>
      <c r="K74" s="334"/>
      <c r="L74" s="332"/>
      <c r="M74" s="332"/>
      <c r="N74" s="332"/>
      <c r="O74" s="332"/>
      <c r="P74" s="335"/>
      <c r="Q74" s="66"/>
      <c r="R74" s="679"/>
      <c r="S74" s="679"/>
      <c r="T74" s="679"/>
      <c r="U74" s="77" t="s">
        <v>46</v>
      </c>
      <c r="V74" s="90"/>
      <c r="X74" s="577"/>
      <c r="Y74" s="571"/>
      <c r="Z74" s="67"/>
      <c r="AA74" s="67"/>
      <c r="AB74" s="67"/>
      <c r="AC74" s="67"/>
    </row>
    <row r="75" spans="1:29" ht="14.45" customHeight="1" x14ac:dyDescent="0.25">
      <c r="A75" s="227" t="s">
        <v>17</v>
      </c>
      <c r="B75" s="79">
        <v>5.2299999999999999E-2</v>
      </c>
      <c r="C75" s="7"/>
      <c r="D75" s="78"/>
      <c r="E75" s="78"/>
      <c r="F75" s="78"/>
      <c r="G75" s="78"/>
      <c r="H75" s="78"/>
      <c r="I75" s="78"/>
      <c r="J75" s="338"/>
      <c r="K75" s="78"/>
      <c r="L75" s="80">
        <f>P72</f>
        <v>622505.27523176139</v>
      </c>
      <c r="M75" s="80"/>
      <c r="N75" s="330" t="e">
        <f>#REF!</f>
        <v>#REF!</v>
      </c>
      <c r="O75" s="330"/>
      <c r="P75" s="749">
        <f>S72</f>
        <v>2331638.3329018601</v>
      </c>
      <c r="Q75" s="339" t="e">
        <f>B75*#REF!</f>
        <v>#REF!</v>
      </c>
      <c r="R75" s="339"/>
      <c r="S75" s="339">
        <f>P75*B75</f>
        <v>121944.68481076728</v>
      </c>
      <c r="T75" s="339">
        <f>S75*32.6%</f>
        <v>39753.967248310139</v>
      </c>
      <c r="U75" s="81">
        <f>SUM(S75:T75)</f>
        <v>161698.65205907743</v>
      </c>
      <c r="V75" s="110"/>
      <c r="W75" s="17"/>
      <c r="X75" s="81"/>
      <c r="Z75" s="3"/>
      <c r="AA75" s="3"/>
      <c r="AB75" s="3"/>
      <c r="AC75" s="3"/>
    </row>
    <row r="76" spans="1:29" x14ac:dyDescent="0.25">
      <c r="A76" s="227" t="s">
        <v>18</v>
      </c>
      <c r="B76" s="79">
        <v>2.4400000000000002E-2</v>
      </c>
      <c r="C76" s="7"/>
      <c r="D76" s="78"/>
      <c r="E76" s="78"/>
      <c r="F76" s="78"/>
      <c r="G76" s="78"/>
      <c r="H76" s="78"/>
      <c r="I76" s="78"/>
      <c r="J76" s="338"/>
      <c r="K76" s="78"/>
      <c r="L76" s="80" t="e">
        <f>#REF!</f>
        <v>#REF!</v>
      </c>
      <c r="M76" s="80"/>
      <c r="N76" s="331" t="e">
        <f>#REF!</f>
        <v>#REF!</v>
      </c>
      <c r="O76" s="331"/>
      <c r="P76" s="749">
        <f>S72</f>
        <v>2331638.3329018601</v>
      </c>
      <c r="Q76" s="339" t="e">
        <f>N76*B76</f>
        <v>#REF!</v>
      </c>
      <c r="R76" s="339"/>
      <c r="S76" s="339">
        <f t="shared" ref="S76:S77" si="8">P76*B76</f>
        <v>56891.975322805389</v>
      </c>
      <c r="T76" s="339"/>
      <c r="U76" s="81">
        <f>S76+T76</f>
        <v>56891.975322805389</v>
      </c>
      <c r="V76" s="110"/>
      <c r="W76" s="82">
        <v>5105.0404010595685</v>
      </c>
      <c r="X76" s="81"/>
      <c r="Z76" s="3"/>
      <c r="AA76" s="3"/>
      <c r="AB76" s="3"/>
      <c r="AC76" s="3"/>
    </row>
    <row r="77" spans="1:29" ht="15.75" thickBot="1" x14ac:dyDescent="0.3">
      <c r="A77" s="227" t="s">
        <v>407</v>
      </c>
      <c r="B77" s="79">
        <v>9.4399999999999998E-2</v>
      </c>
      <c r="C77" s="7"/>
      <c r="D77" s="78"/>
      <c r="E77" s="84"/>
      <c r="F77" s="78"/>
      <c r="G77" s="78"/>
      <c r="H77" s="78"/>
      <c r="I77" s="78"/>
      <c r="J77" s="338"/>
      <c r="K77" s="78"/>
      <c r="L77" s="80" t="e">
        <f>#REF!</f>
        <v>#REF!</v>
      </c>
      <c r="M77" s="80"/>
      <c r="N77" s="331" t="e">
        <f>#REF!</f>
        <v>#REF!</v>
      </c>
      <c r="O77" s="331"/>
      <c r="P77" s="749">
        <f>S72</f>
        <v>2331638.3329018601</v>
      </c>
      <c r="Q77" s="339" t="e">
        <f>N77*B77</f>
        <v>#REF!</v>
      </c>
      <c r="R77" s="339"/>
      <c r="S77" s="339">
        <f t="shared" si="8"/>
        <v>220106.65862593558</v>
      </c>
      <c r="T77" s="339">
        <f>S77*32.6%</f>
        <v>71754.770712055004</v>
      </c>
      <c r="U77" s="81">
        <f>SUM(S77:T77)</f>
        <v>291861.42933799059</v>
      </c>
      <c r="V77" s="110"/>
      <c r="W77" s="82">
        <v>10461.148362826985</v>
      </c>
      <c r="X77" s="81"/>
      <c r="Z77" s="3"/>
      <c r="AA77" s="3"/>
      <c r="AB77" s="3"/>
      <c r="AC77" s="3"/>
    </row>
    <row r="78" spans="1:29" ht="24" customHeight="1" thickTop="1" thickBot="1" x14ac:dyDescent="0.3">
      <c r="A78" s="225" t="s">
        <v>47</v>
      </c>
      <c r="B78" s="86">
        <f>AVERAGE(B75:B77)</f>
        <v>5.7033333333333332E-2</v>
      </c>
      <c r="C78" s="59"/>
      <c r="D78" s="59"/>
      <c r="E78" s="60"/>
      <c r="F78" s="76"/>
      <c r="G78" s="62"/>
      <c r="H78" s="60"/>
      <c r="I78" s="60"/>
      <c r="J78" s="63"/>
      <c r="K78" s="336"/>
      <c r="L78" s="333" t="e">
        <f>SUM(L75:L77)</f>
        <v>#REF!</v>
      </c>
      <c r="M78" s="333"/>
      <c r="N78" s="333" t="e">
        <f>SUM(N75:N77)</f>
        <v>#REF!</v>
      </c>
      <c r="O78" s="333"/>
      <c r="P78" s="337">
        <f>SUM(P75:P77)</f>
        <v>6994914.9987055808</v>
      </c>
      <c r="Q78" s="66" t="e">
        <f>SUM(Q75:Q77)</f>
        <v>#REF!</v>
      </c>
      <c r="R78" s="752"/>
      <c r="S78" s="757"/>
      <c r="T78" s="758"/>
      <c r="U78" s="756">
        <f>SUM(U75:U77)</f>
        <v>510452.05671987339</v>
      </c>
      <c r="V78" s="90">
        <f>V72+U78</f>
        <v>3602204.4861477409</v>
      </c>
      <c r="X78" s="579"/>
      <c r="Y78" s="572"/>
      <c r="Z78" s="88"/>
      <c r="AA78" s="88"/>
      <c r="AB78" s="88"/>
      <c r="AC78" s="88"/>
    </row>
    <row r="79" spans="1:29" ht="14.45" customHeight="1" thickBot="1" x14ac:dyDescent="0.3">
      <c r="A79" s="467"/>
      <c r="B79" s="468"/>
      <c r="C79" s="89"/>
      <c r="D79" s="89"/>
      <c r="E79" s="469"/>
      <c r="F79" s="470"/>
      <c r="G79" s="469"/>
      <c r="H79" s="469"/>
      <c r="I79" s="469"/>
      <c r="J79" s="471"/>
      <c r="K79" s="472"/>
      <c r="L79" s="473"/>
      <c r="M79" s="473"/>
      <c r="N79" s="473"/>
      <c r="O79" s="473"/>
      <c r="P79" s="473"/>
      <c r="Q79" s="75"/>
      <c r="R79" s="678"/>
      <c r="S79" s="678"/>
      <c r="T79" s="678"/>
      <c r="U79" s="90"/>
      <c r="V79" s="90"/>
      <c r="X79" s="579"/>
      <c r="Y79" s="572"/>
      <c r="Z79" s="88"/>
      <c r="AA79" s="88"/>
      <c r="AB79" s="88"/>
      <c r="AC79" s="88"/>
    </row>
    <row r="80" spans="1:29" ht="30" customHeight="1" thickTop="1" x14ac:dyDescent="0.25">
      <c r="A80" s="347" t="s">
        <v>48</v>
      </c>
      <c r="B80" s="348"/>
      <c r="C80" s="349"/>
      <c r="D80" s="350"/>
      <c r="E80" s="350" t="s">
        <v>312</v>
      </c>
      <c r="F80" s="350" t="s">
        <v>238</v>
      </c>
      <c r="G80" s="351" t="s">
        <v>49</v>
      </c>
      <c r="H80" s="351" t="s">
        <v>313</v>
      </c>
      <c r="I80" s="351"/>
      <c r="J80" s="350"/>
      <c r="K80" s="350"/>
      <c r="L80" s="350"/>
      <c r="M80" s="350"/>
      <c r="N80" s="350"/>
      <c r="O80" s="350"/>
      <c r="P80" s="350"/>
      <c r="Q80" s="350"/>
      <c r="R80" s="680"/>
      <c r="S80" s="680"/>
      <c r="T80" s="680"/>
      <c r="U80" s="352" t="s">
        <v>50</v>
      </c>
      <c r="V80" s="651"/>
      <c r="X80" s="7"/>
      <c r="Z80" s="3"/>
      <c r="AA80" s="3"/>
      <c r="AB80" s="3"/>
      <c r="AC80" s="3"/>
    </row>
    <row r="81" spans="1:29" s="2" customFormat="1" ht="30" customHeight="1" x14ac:dyDescent="0.25">
      <c r="A81" s="360" t="s">
        <v>311</v>
      </c>
      <c r="B81" s="358"/>
      <c r="C81" s="358"/>
      <c r="D81" s="358"/>
      <c r="E81" s="267">
        <v>8</v>
      </c>
      <c r="F81" s="267">
        <v>250</v>
      </c>
      <c r="G81" s="267">
        <v>23.25</v>
      </c>
      <c r="H81" s="267">
        <f>E81*G81</f>
        <v>186</v>
      </c>
      <c r="I81" s="359"/>
      <c r="J81" s="358"/>
      <c r="K81" s="358"/>
      <c r="L81" s="358"/>
      <c r="M81" s="358"/>
      <c r="N81" s="358"/>
      <c r="O81" s="358"/>
      <c r="P81" s="358"/>
      <c r="Q81" s="358"/>
      <c r="R81" s="358"/>
      <c r="S81" s="358"/>
      <c r="T81" s="358"/>
      <c r="U81" s="116">
        <f>F81*H81</f>
        <v>46500</v>
      </c>
      <c r="V81" s="99"/>
      <c r="X81" s="4"/>
      <c r="Z81" s="5"/>
      <c r="AA81" s="5"/>
      <c r="AB81" s="5"/>
      <c r="AC81" s="5"/>
    </row>
    <row r="82" spans="1:29" s="2" customFormat="1" ht="21.95" customHeight="1" x14ac:dyDescent="0.25">
      <c r="A82" s="360" t="s">
        <v>132</v>
      </c>
      <c r="B82" s="254"/>
      <c r="C82" s="254"/>
      <c r="D82" s="254"/>
      <c r="E82" s="278">
        <v>1</v>
      </c>
      <c r="F82" s="278">
        <v>800</v>
      </c>
      <c r="G82" s="361">
        <v>39</v>
      </c>
      <c r="H82" s="361">
        <f>G82</f>
        <v>39</v>
      </c>
      <c r="I82" s="279"/>
      <c r="J82" s="254"/>
      <c r="K82" s="254"/>
      <c r="L82" s="280"/>
      <c r="M82" s="280"/>
      <c r="N82" s="280"/>
      <c r="O82" s="280"/>
      <c r="P82" s="362"/>
      <c r="Q82" s="281">
        <f>F82*G82</f>
        <v>31200</v>
      </c>
      <c r="R82" s="281"/>
      <c r="S82" s="281"/>
      <c r="T82" s="281"/>
      <c r="U82" s="116">
        <f>H82*F82</f>
        <v>31200</v>
      </c>
      <c r="V82" s="99"/>
      <c r="X82" s="4"/>
      <c r="Z82" s="5"/>
      <c r="AA82" s="5"/>
      <c r="AB82" s="95">
        <f>U82</f>
        <v>31200</v>
      </c>
      <c r="AC82" s="96"/>
    </row>
    <row r="83" spans="1:29" s="2" customFormat="1" ht="21.95" customHeight="1" thickBot="1" x14ac:dyDescent="0.3">
      <c r="A83" s="277" t="s">
        <v>133</v>
      </c>
      <c r="B83" s="93"/>
      <c r="C83" s="93"/>
      <c r="D83" s="93"/>
      <c r="E83" s="94">
        <v>600</v>
      </c>
      <c r="F83" s="94">
        <v>400</v>
      </c>
      <c r="G83" s="255">
        <v>9.5000000000000001E-2</v>
      </c>
      <c r="H83" s="255">
        <f>F83*G83</f>
        <v>38</v>
      </c>
      <c r="I83" s="353"/>
      <c r="J83" s="93"/>
      <c r="K83" s="93"/>
      <c r="L83" s="354"/>
      <c r="M83" s="354"/>
      <c r="N83" s="354"/>
      <c r="O83" s="666"/>
      <c r="P83" s="355"/>
      <c r="Q83" s="356"/>
      <c r="R83" s="356"/>
      <c r="S83" s="356"/>
      <c r="T83" s="356"/>
      <c r="U83" s="357">
        <f>H83*E83</f>
        <v>22800</v>
      </c>
      <c r="V83" s="99"/>
      <c r="X83" s="4"/>
      <c r="Y83" s="2">
        <v>551.52</v>
      </c>
      <c r="Z83" s="5"/>
      <c r="AA83" s="5"/>
      <c r="AB83" s="95">
        <f>U83</f>
        <v>22800</v>
      </c>
      <c r="AC83" s="96"/>
    </row>
    <row r="84" spans="1:29" ht="24" customHeight="1" thickTop="1" thickBot="1" x14ac:dyDescent="0.3">
      <c r="A84" s="225" t="s">
        <v>51</v>
      </c>
      <c r="B84" s="274"/>
      <c r="C84" s="59"/>
      <c r="D84" s="59"/>
      <c r="E84" s="60"/>
      <c r="F84" s="76"/>
      <c r="G84" s="62"/>
      <c r="H84" s="60"/>
      <c r="I84" s="60"/>
      <c r="J84" s="63"/>
      <c r="K84" s="63"/>
      <c r="L84" s="64"/>
      <c r="M84" s="64"/>
      <c r="N84" s="64"/>
      <c r="O84" s="64"/>
      <c r="P84" s="65"/>
      <c r="Q84" s="275">
        <f>Q82</f>
        <v>31200</v>
      </c>
      <c r="R84" s="679"/>
      <c r="S84" s="679"/>
      <c r="T84" s="679"/>
      <c r="U84" s="493">
        <f>U81+U82+U83</f>
        <v>100500</v>
      </c>
      <c r="V84" s="90"/>
      <c r="X84" s="580"/>
      <c r="Y84" s="573"/>
      <c r="Z84" s="100"/>
      <c r="AA84" s="100"/>
      <c r="AB84" s="101">
        <f>SUM(AB82:AB83)</f>
        <v>54000</v>
      </c>
      <c r="AC84" s="87"/>
    </row>
    <row r="85" spans="1:29" s="2" customFormat="1" ht="16.5" customHeight="1" thickBot="1" x14ac:dyDescent="0.3">
      <c r="A85" s="273"/>
      <c r="B85" s="249"/>
      <c r="C85" s="249"/>
      <c r="D85" s="249"/>
      <c r="E85" s="250"/>
      <c r="F85" s="251"/>
      <c r="G85" s="252"/>
      <c r="H85" s="252"/>
      <c r="I85" s="249"/>
      <c r="J85" s="249"/>
      <c r="K85" s="249"/>
      <c r="L85" s="249"/>
      <c r="M85" s="249"/>
      <c r="N85" s="249"/>
      <c r="O85" s="249"/>
      <c r="P85" s="249"/>
      <c r="Q85" s="253"/>
      <c r="R85" s="681"/>
      <c r="S85" s="681"/>
      <c r="T85" s="681"/>
      <c r="U85" s="495"/>
      <c r="V85" s="634"/>
      <c r="X85" s="4"/>
      <c r="Z85" s="5"/>
      <c r="AA85" s="5"/>
      <c r="AB85" s="5"/>
      <c r="AC85" s="5"/>
    </row>
    <row r="86" spans="1:29" ht="30" customHeight="1" thickBot="1" x14ac:dyDescent="0.3">
      <c r="A86" s="228" t="s">
        <v>52</v>
      </c>
      <c r="B86" s="102"/>
      <c r="C86" s="103"/>
      <c r="D86" s="103"/>
      <c r="E86" s="103"/>
      <c r="F86" s="103"/>
      <c r="G86" s="103"/>
      <c r="H86" s="103"/>
      <c r="I86" s="103"/>
      <c r="J86" s="103"/>
      <c r="K86" s="103"/>
      <c r="L86" s="104"/>
      <c r="M86" s="104"/>
      <c r="N86" s="104"/>
      <c r="O86" s="104"/>
      <c r="P86" s="104"/>
      <c r="Q86" s="105" t="e">
        <f>#REF!+U84</f>
        <v>#REF!</v>
      </c>
      <c r="R86" s="682"/>
      <c r="S86" s="682"/>
      <c r="T86" s="682"/>
      <c r="U86" s="494">
        <f>U20+U29+U58+U70+U78+U84</f>
        <v>3702704.4861477409</v>
      </c>
      <c r="V86" s="109"/>
      <c r="W86" s="106" t="e">
        <f>U84+U78+#REF!</f>
        <v>#REF!</v>
      </c>
      <c r="X86" s="581"/>
      <c r="Y86" s="574"/>
      <c r="Z86" s="92"/>
      <c r="AA86" s="92"/>
      <c r="AB86" s="107" t="e">
        <f>AB84+#REF!</f>
        <v>#REF!</v>
      </c>
      <c r="AC86" s="91"/>
    </row>
    <row r="87" spans="1:29" s="2" customFormat="1" ht="12.6" customHeight="1" x14ac:dyDescent="0.25">
      <c r="A87" s="229"/>
      <c r="B87" s="97"/>
      <c r="C87" s="97"/>
      <c r="D87" s="97"/>
      <c r="E87" s="97"/>
      <c r="F87" s="97"/>
      <c r="G87" s="97"/>
      <c r="H87" s="97"/>
      <c r="I87" s="97"/>
      <c r="J87" s="97"/>
      <c r="K87" s="97"/>
      <c r="L87" s="98"/>
      <c r="M87" s="98"/>
      <c r="N87" s="98"/>
      <c r="O87" s="98"/>
      <c r="P87" s="98"/>
      <c r="Q87" s="108"/>
      <c r="R87" s="108"/>
      <c r="S87" s="108"/>
      <c r="T87" s="108"/>
      <c r="U87" s="109"/>
      <c r="V87" s="109"/>
      <c r="W87" s="110"/>
      <c r="X87" s="8"/>
      <c r="AC87" s="110"/>
    </row>
    <row r="88" spans="1:29" ht="30" customHeight="1" x14ac:dyDescent="0.25">
      <c r="A88" s="230" t="s">
        <v>53</v>
      </c>
      <c r="B88" s="112"/>
      <c r="C88" s="112"/>
      <c r="D88" s="266" t="s">
        <v>237</v>
      </c>
      <c r="E88" s="266" t="s">
        <v>238</v>
      </c>
      <c r="F88" s="266" t="s">
        <v>239</v>
      </c>
      <c r="G88" s="266" t="s">
        <v>244</v>
      </c>
      <c r="H88" s="266"/>
      <c r="I88" s="112"/>
      <c r="J88" s="112"/>
      <c r="K88" s="112"/>
      <c r="L88" s="112"/>
      <c r="M88" s="112"/>
      <c r="N88" s="112"/>
      <c r="O88" s="112"/>
      <c r="P88" s="112"/>
      <c r="Q88" s="113"/>
      <c r="R88" s="113"/>
      <c r="S88" s="113"/>
      <c r="T88" s="113"/>
      <c r="U88" s="114" t="s">
        <v>54</v>
      </c>
      <c r="V88" s="656"/>
      <c r="X88" s="112"/>
      <c r="Y88" s="115"/>
      <c r="Z88" s="115"/>
      <c r="AA88" s="115"/>
      <c r="AB88" s="115"/>
      <c r="AC88" s="115"/>
    </row>
    <row r="89" spans="1:29" ht="14.45" customHeight="1" x14ac:dyDescent="0.25">
      <c r="A89" s="360" t="s">
        <v>401</v>
      </c>
      <c r="B89" s="474"/>
      <c r="C89" s="254"/>
      <c r="D89" s="254"/>
      <c r="E89" s="545">
        <v>4199</v>
      </c>
      <c r="F89" s="479"/>
      <c r="G89" s="546">
        <v>23.17</v>
      </c>
      <c r="H89" s="478"/>
      <c r="I89" s="478"/>
      <c r="J89" s="480"/>
      <c r="K89" s="475"/>
      <c r="L89" s="476"/>
      <c r="M89" s="476"/>
      <c r="N89" s="476"/>
      <c r="O89" s="476"/>
      <c r="P89" s="476"/>
      <c r="Q89" s="477"/>
      <c r="R89" s="477"/>
      <c r="S89" s="477"/>
      <c r="T89" s="477"/>
      <c r="U89" s="8">
        <f>E89*G89</f>
        <v>97290.83</v>
      </c>
      <c r="V89" s="110"/>
      <c r="X89" s="579"/>
      <c r="Y89" s="572"/>
      <c r="Z89" s="88"/>
      <c r="AA89" s="88"/>
      <c r="AB89" s="88"/>
      <c r="AC89" s="88"/>
    </row>
    <row r="90" spans="1:29" s="19" customFormat="1" ht="14.45" customHeight="1" x14ac:dyDescent="0.25">
      <c r="A90" s="768" t="s">
        <v>402</v>
      </c>
      <c r="B90" s="598"/>
      <c r="C90" s="599"/>
      <c r="D90" s="599"/>
      <c r="E90" s="600">
        <v>24</v>
      </c>
      <c r="F90" s="601">
        <v>12</v>
      </c>
      <c r="G90" s="602">
        <v>50</v>
      </c>
      <c r="H90" s="600"/>
      <c r="I90" s="600"/>
      <c r="J90" s="603"/>
      <c r="K90" s="603"/>
      <c r="L90" s="604"/>
      <c r="M90" s="604"/>
      <c r="N90" s="604"/>
      <c r="O90" s="604"/>
      <c r="P90" s="604"/>
      <c r="Q90" s="605"/>
      <c r="R90" s="605"/>
      <c r="S90" s="605"/>
      <c r="T90" s="605"/>
      <c r="U90" s="606">
        <f>E90*G90</f>
        <v>1200</v>
      </c>
      <c r="V90" s="637"/>
      <c r="X90" s="607"/>
      <c r="Z90" s="608"/>
      <c r="AA90" s="608"/>
      <c r="AB90" s="608"/>
      <c r="AC90" s="608"/>
    </row>
    <row r="91" spans="1:29" ht="14.45" customHeight="1" x14ac:dyDescent="0.25">
      <c r="A91" s="360" t="s">
        <v>343</v>
      </c>
      <c r="B91" s="474"/>
      <c r="C91" s="254"/>
      <c r="D91" s="254"/>
      <c r="E91" s="478">
        <v>24</v>
      </c>
      <c r="F91" s="479"/>
      <c r="G91" s="546">
        <v>30</v>
      </c>
      <c r="H91" s="478"/>
      <c r="I91" s="478"/>
      <c r="J91" s="480"/>
      <c r="K91" s="475"/>
      <c r="L91" s="476"/>
      <c r="M91" s="476"/>
      <c r="N91" s="476"/>
      <c r="O91" s="476"/>
      <c r="P91" s="476"/>
      <c r="Q91" s="477"/>
      <c r="R91" s="477"/>
      <c r="S91" s="477"/>
      <c r="T91" s="477"/>
      <c r="U91" s="548">
        <f>G91*E91</f>
        <v>720</v>
      </c>
      <c r="V91" s="264"/>
      <c r="X91" s="579"/>
      <c r="Y91" s="572"/>
      <c r="Z91" s="88"/>
      <c r="AA91" s="88"/>
      <c r="AB91" s="88"/>
      <c r="AC91" s="88"/>
    </row>
    <row r="92" spans="1:29" s="2" customFormat="1" x14ac:dyDescent="0.25">
      <c r="A92" s="231" t="s">
        <v>134</v>
      </c>
      <c r="B92" s="4"/>
      <c r="C92" s="4"/>
      <c r="D92" s="4">
        <v>1</v>
      </c>
      <c r="E92" s="4"/>
      <c r="F92" s="118">
        <v>12</v>
      </c>
      <c r="G92" s="547">
        <v>522</v>
      </c>
      <c r="H92" s="116"/>
      <c r="I92" s="116"/>
      <c r="J92" s="4"/>
      <c r="K92" s="4"/>
      <c r="L92" s="4"/>
      <c r="M92" s="4"/>
      <c r="N92" s="4"/>
      <c r="O92" s="4"/>
      <c r="P92" s="4"/>
      <c r="Q92" s="117">
        <f>F92*G92</f>
        <v>6264</v>
      </c>
      <c r="R92" s="117"/>
      <c r="S92" s="117"/>
      <c r="T92" s="117"/>
      <c r="U92" s="8">
        <f>F92*G92</f>
        <v>6264</v>
      </c>
      <c r="V92" s="110"/>
      <c r="X92" s="4"/>
      <c r="Y92" s="575">
        <v>4944</v>
      </c>
      <c r="Z92" s="5"/>
      <c r="AA92" s="5"/>
      <c r="AB92" s="5"/>
      <c r="AC92" s="5"/>
    </row>
    <row r="93" spans="1:29" s="2" customFormat="1" x14ac:dyDescent="0.25">
      <c r="A93" s="231" t="s">
        <v>135</v>
      </c>
      <c r="B93" s="4"/>
      <c r="C93" s="4"/>
      <c r="D93" s="4">
        <v>1</v>
      </c>
      <c r="E93" s="4"/>
      <c r="F93" s="118">
        <v>12</v>
      </c>
      <c r="G93" s="116">
        <v>495</v>
      </c>
      <c r="H93" s="116"/>
      <c r="I93" s="116"/>
      <c r="J93" s="4"/>
      <c r="K93" s="4"/>
      <c r="L93" s="4"/>
      <c r="M93" s="4"/>
      <c r="N93" s="4"/>
      <c r="O93" s="4"/>
      <c r="P93" s="4"/>
      <c r="Q93" s="117"/>
      <c r="R93" s="117"/>
      <c r="S93" s="117"/>
      <c r="T93" s="117"/>
      <c r="U93" s="8">
        <f>F93*G93</f>
        <v>5940</v>
      </c>
      <c r="V93" s="110"/>
      <c r="X93" s="4"/>
      <c r="Y93" s="575">
        <v>5643.84</v>
      </c>
      <c r="Z93" s="5"/>
      <c r="AA93" s="5"/>
      <c r="AB93" s="5"/>
      <c r="AC93" s="5"/>
    </row>
    <row r="94" spans="1:29" s="2" customFormat="1" x14ac:dyDescent="0.25">
      <c r="A94" s="231" t="s">
        <v>316</v>
      </c>
      <c r="B94" s="4"/>
      <c r="C94" s="4"/>
      <c r="D94" s="267">
        <v>2</v>
      </c>
      <c r="E94" s="267" t="s">
        <v>240</v>
      </c>
      <c r="F94" s="118">
        <v>52</v>
      </c>
      <c r="G94" s="259">
        <v>11.5</v>
      </c>
      <c r="H94" s="259"/>
      <c r="I94" s="116"/>
      <c r="J94" s="4"/>
      <c r="K94" s="4"/>
      <c r="L94" s="4"/>
      <c r="M94" s="4"/>
      <c r="N94" s="4"/>
      <c r="O94" s="4"/>
      <c r="P94" s="4"/>
      <c r="Q94" s="117"/>
      <c r="R94" s="117"/>
      <c r="S94" s="117"/>
      <c r="T94" s="117"/>
      <c r="U94" s="116">
        <f>F94*D94*G94</f>
        <v>1196</v>
      </c>
      <c r="V94" s="99"/>
      <c r="X94" s="4"/>
      <c r="Y94" s="575">
        <v>276</v>
      </c>
      <c r="Z94" s="5"/>
      <c r="AA94" s="5"/>
      <c r="AB94" s="5"/>
      <c r="AC94" s="5"/>
    </row>
    <row r="95" spans="1:29" s="2" customFormat="1" x14ac:dyDescent="0.25">
      <c r="A95" s="231" t="s">
        <v>204</v>
      </c>
      <c r="B95" s="4"/>
      <c r="C95" s="4"/>
      <c r="D95" s="267">
        <v>2</v>
      </c>
      <c r="E95" s="267" t="s">
        <v>240</v>
      </c>
      <c r="F95" s="118">
        <v>4</v>
      </c>
      <c r="G95" s="116">
        <v>145.19999999999999</v>
      </c>
      <c r="H95" s="116"/>
      <c r="I95" s="116"/>
      <c r="J95" s="4"/>
      <c r="K95" s="4"/>
      <c r="L95" s="4"/>
      <c r="M95" s="4"/>
      <c r="N95" s="4"/>
      <c r="O95" s="4"/>
      <c r="P95" s="4"/>
      <c r="Q95" s="117"/>
      <c r="R95" s="117"/>
      <c r="S95" s="117"/>
      <c r="T95" s="117"/>
      <c r="U95" s="116">
        <f>D95*F95*G95</f>
        <v>1161.5999999999999</v>
      </c>
      <c r="V95" s="99"/>
      <c r="X95" s="4"/>
      <c r="Y95" s="575">
        <v>1161.5999999999999</v>
      </c>
      <c r="Z95" s="5"/>
      <c r="AA95" s="5"/>
      <c r="AB95" s="5"/>
      <c r="AC95" s="5"/>
    </row>
    <row r="96" spans="1:29" s="2" customFormat="1" x14ac:dyDescent="0.25">
      <c r="A96" s="231" t="s">
        <v>317</v>
      </c>
      <c r="B96" s="4"/>
      <c r="C96" s="4"/>
      <c r="D96" s="267">
        <v>2</v>
      </c>
      <c r="E96" s="267"/>
      <c r="F96" s="118"/>
      <c r="G96" s="116">
        <v>180</v>
      </c>
      <c r="H96" s="116"/>
      <c r="I96" s="116"/>
      <c r="J96" s="4"/>
      <c r="K96" s="4"/>
      <c r="L96" s="4"/>
      <c r="M96" s="4"/>
      <c r="N96" s="4"/>
      <c r="O96" s="4"/>
      <c r="P96" s="4"/>
      <c r="Q96" s="117"/>
      <c r="R96" s="117"/>
      <c r="S96" s="117"/>
      <c r="T96" s="117"/>
      <c r="U96" s="116">
        <f>G96*D96</f>
        <v>360</v>
      </c>
      <c r="V96" s="99"/>
      <c r="X96" s="4"/>
      <c r="Y96" s="575"/>
      <c r="Z96" s="5"/>
      <c r="AA96" s="5"/>
      <c r="AB96" s="5"/>
      <c r="AC96" s="5"/>
    </row>
    <row r="97" spans="1:31" s="2" customFormat="1" x14ac:dyDescent="0.25">
      <c r="A97" s="231" t="s">
        <v>234</v>
      </c>
      <c r="B97" s="4"/>
      <c r="C97" s="4"/>
      <c r="D97" s="267">
        <v>835</v>
      </c>
      <c r="E97" s="267" t="s">
        <v>241</v>
      </c>
      <c r="F97" s="118"/>
      <c r="G97" s="116">
        <v>1.94</v>
      </c>
      <c r="H97" s="116"/>
      <c r="I97" s="116"/>
      <c r="J97" s="4"/>
      <c r="K97" s="4"/>
      <c r="L97" s="4"/>
      <c r="M97" s="4"/>
      <c r="N97" s="4"/>
      <c r="O97" s="4"/>
      <c r="P97" s="4"/>
      <c r="Q97" s="117"/>
      <c r="R97" s="117"/>
      <c r="S97" s="117"/>
      <c r="T97" s="117"/>
      <c r="U97" s="116">
        <f>G97*D97</f>
        <v>1619.8999999999999</v>
      </c>
      <c r="V97" s="99"/>
      <c r="X97" s="4"/>
      <c r="Y97" s="575">
        <v>1464.7</v>
      </c>
      <c r="Z97" s="5"/>
      <c r="AA97" s="5"/>
      <c r="AB97" s="5"/>
      <c r="AC97" s="5"/>
    </row>
    <row r="98" spans="1:31" s="2" customFormat="1" x14ac:dyDescent="0.25">
      <c r="A98" s="231" t="s">
        <v>157</v>
      </c>
      <c r="B98" s="4"/>
      <c r="C98" s="4"/>
      <c r="D98" s="267">
        <v>2</v>
      </c>
      <c r="E98" s="267"/>
      <c r="F98" s="118">
        <v>12</v>
      </c>
      <c r="G98" s="116">
        <v>167.5</v>
      </c>
      <c r="H98" s="116"/>
      <c r="I98" s="116"/>
      <c r="J98" s="4"/>
      <c r="K98" s="4"/>
      <c r="L98" s="4"/>
      <c r="M98" s="4"/>
      <c r="N98" s="4"/>
      <c r="O98" s="4"/>
      <c r="P98" s="4"/>
      <c r="Q98" s="117"/>
      <c r="R98" s="117"/>
      <c r="S98" s="117"/>
      <c r="T98" s="117"/>
      <c r="U98" s="116">
        <f>D98*F98*G98</f>
        <v>4020</v>
      </c>
      <c r="V98" s="99"/>
      <c r="X98" s="4"/>
      <c r="Y98" s="575">
        <v>3600</v>
      </c>
      <c r="Z98" s="5"/>
      <c r="AA98" s="5"/>
      <c r="AB98" s="5"/>
      <c r="AC98" s="5"/>
    </row>
    <row r="99" spans="1:31" s="2" customFormat="1" x14ac:dyDescent="0.25">
      <c r="A99" s="231" t="s">
        <v>158</v>
      </c>
      <c r="B99" s="4"/>
      <c r="C99" s="4"/>
      <c r="D99" s="267">
        <v>2</v>
      </c>
      <c r="E99" s="267"/>
      <c r="F99" s="118"/>
      <c r="G99" s="116">
        <v>189</v>
      </c>
      <c r="H99" s="116"/>
      <c r="I99" s="116"/>
      <c r="J99" s="4"/>
      <c r="K99" s="4"/>
      <c r="L99" s="4"/>
      <c r="M99" s="4"/>
      <c r="N99" s="4"/>
      <c r="O99" s="4"/>
      <c r="P99" s="4"/>
      <c r="Q99" s="117"/>
      <c r="R99" s="117"/>
      <c r="S99" s="117"/>
      <c r="T99" s="117"/>
      <c r="U99" s="116">
        <f>D99*G99</f>
        <v>378</v>
      </c>
      <c r="V99" s="99"/>
      <c r="X99" s="4"/>
      <c r="Y99" s="575">
        <v>378</v>
      </c>
      <c r="Z99" s="5"/>
      <c r="AA99" s="5"/>
      <c r="AB99" s="5"/>
      <c r="AC99" s="5"/>
    </row>
    <row r="100" spans="1:31" x14ac:dyDescent="0.25">
      <c r="A100" s="232" t="s">
        <v>55</v>
      </c>
      <c r="B100" s="7"/>
      <c r="C100" s="7"/>
      <c r="D100" s="119"/>
      <c r="E100" s="119">
        <v>55</v>
      </c>
      <c r="F100" s="119"/>
      <c r="G100" s="81">
        <v>300</v>
      </c>
      <c r="H100" s="81"/>
      <c r="I100" s="81"/>
      <c r="J100" s="81"/>
      <c r="K100" s="81"/>
      <c r="L100" s="7"/>
      <c r="M100" s="7"/>
      <c r="N100" s="7"/>
      <c r="O100" s="7"/>
      <c r="P100" s="7"/>
      <c r="Q100" s="120">
        <f xml:space="preserve"> (F100*G100)/4</f>
        <v>0</v>
      </c>
      <c r="R100" s="120"/>
      <c r="S100" s="120"/>
      <c r="T100" s="120"/>
      <c r="U100" s="81">
        <f>(E100*G100)/4</f>
        <v>4125</v>
      </c>
      <c r="V100" s="110"/>
      <c r="X100" s="7"/>
      <c r="Y100" s="106">
        <v>4125</v>
      </c>
      <c r="Z100" s="83"/>
      <c r="AA100" s="83"/>
      <c r="AB100" s="83"/>
      <c r="AC100" s="3"/>
    </row>
    <row r="101" spans="1:31" x14ac:dyDescent="0.25">
      <c r="A101" s="232" t="s">
        <v>137</v>
      </c>
      <c r="B101" s="7"/>
      <c r="C101" s="7"/>
      <c r="D101" s="119"/>
      <c r="E101" s="119">
        <v>55</v>
      </c>
      <c r="F101" s="119">
        <v>12</v>
      </c>
      <c r="G101" s="81">
        <v>29</v>
      </c>
      <c r="H101" s="81"/>
      <c r="I101" s="81"/>
      <c r="J101" s="81"/>
      <c r="K101" s="81"/>
      <c r="L101" s="7"/>
      <c r="M101" s="7"/>
      <c r="N101" s="7"/>
      <c r="O101" s="7"/>
      <c r="P101" s="7"/>
      <c r="Q101" s="120">
        <f>E101*F101*G101</f>
        <v>19140</v>
      </c>
      <c r="R101" s="120"/>
      <c r="S101" s="120"/>
      <c r="T101" s="120"/>
      <c r="U101" s="81">
        <f>E101*F101*G101</f>
        <v>19140</v>
      </c>
      <c r="V101" s="110"/>
      <c r="X101" s="7"/>
      <c r="Y101" s="106">
        <v>15840</v>
      </c>
      <c r="Z101" s="83"/>
      <c r="AA101" s="83"/>
      <c r="AB101" s="83"/>
      <c r="AC101" s="3"/>
    </row>
    <row r="102" spans="1:31" ht="15.75" thickBot="1" x14ac:dyDescent="0.3">
      <c r="A102" s="233" t="s">
        <v>56</v>
      </c>
      <c r="B102" s="37"/>
      <c r="C102" s="37"/>
      <c r="D102" s="121"/>
      <c r="E102" s="121"/>
      <c r="F102" s="121"/>
      <c r="G102" s="85">
        <v>300</v>
      </c>
      <c r="H102" s="85"/>
      <c r="I102" s="85"/>
      <c r="J102" s="85"/>
      <c r="K102" s="85"/>
      <c r="L102" s="37"/>
      <c r="M102" s="37"/>
      <c r="N102" s="37"/>
      <c r="O102" s="37"/>
      <c r="P102" s="37"/>
      <c r="Q102" s="120">
        <f>G102</f>
        <v>300</v>
      </c>
      <c r="R102" s="683"/>
      <c r="S102" s="683"/>
      <c r="T102" s="683"/>
      <c r="U102" s="85">
        <f>G102</f>
        <v>300</v>
      </c>
      <c r="V102" s="110"/>
      <c r="X102" s="7"/>
      <c r="Y102" s="106">
        <v>300</v>
      </c>
      <c r="Z102" s="83"/>
      <c r="AA102" s="83"/>
      <c r="AB102" s="83"/>
      <c r="AC102" s="3"/>
    </row>
    <row r="103" spans="1:31" ht="30" customHeight="1" thickBot="1" x14ac:dyDescent="0.3">
      <c r="A103" s="234" t="s">
        <v>57</v>
      </c>
      <c r="B103" s="122"/>
      <c r="C103" s="122"/>
      <c r="D103" s="122"/>
      <c r="E103" s="122"/>
      <c r="F103" s="122"/>
      <c r="G103" s="122"/>
      <c r="H103" s="122"/>
      <c r="I103" s="122"/>
      <c r="J103" s="122"/>
      <c r="K103" s="122"/>
      <c r="L103" s="122"/>
      <c r="M103" s="122"/>
      <c r="N103" s="122"/>
      <c r="O103" s="122"/>
      <c r="P103" s="123"/>
      <c r="Q103" s="124">
        <f>SUM(Q92:Q102)</f>
        <v>25704</v>
      </c>
      <c r="R103" s="124"/>
      <c r="S103" s="124"/>
      <c r="T103" s="124"/>
      <c r="U103" s="125">
        <f>SUM(U89:U102)</f>
        <v>143715.33000000002</v>
      </c>
      <c r="V103" s="128"/>
      <c r="W103" s="106">
        <f>Y103</f>
        <v>37733.14</v>
      </c>
      <c r="X103" s="111"/>
      <c r="Y103" s="126">
        <f>SUM(Y92:Y102)</f>
        <v>37733.14</v>
      </c>
      <c r="Z103" s="122"/>
      <c r="AA103" s="122"/>
      <c r="AB103" s="122"/>
      <c r="AC103" s="123"/>
    </row>
    <row r="104" spans="1:31" ht="11.45" customHeight="1" thickBot="1" x14ac:dyDescent="0.3">
      <c r="A104" s="235"/>
      <c r="B104" s="127"/>
      <c r="C104" s="127"/>
      <c r="D104" s="127"/>
      <c r="E104" s="127"/>
      <c r="F104" s="127"/>
      <c r="G104" s="127"/>
      <c r="H104" s="127"/>
      <c r="I104" s="127"/>
      <c r="J104" s="127"/>
      <c r="K104" s="127"/>
      <c r="L104" s="127"/>
      <c r="M104" s="127"/>
      <c r="N104" s="127"/>
      <c r="O104" s="127"/>
      <c r="P104" s="127"/>
      <c r="Q104" s="127"/>
      <c r="R104" s="127"/>
      <c r="S104" s="127"/>
      <c r="T104" s="127"/>
      <c r="U104" s="128"/>
      <c r="V104" s="128"/>
      <c r="X104" s="380"/>
      <c r="Y104" s="129"/>
      <c r="Z104" s="127"/>
      <c r="AA104" s="127"/>
      <c r="AB104" s="127"/>
      <c r="AC104" s="127"/>
    </row>
    <row r="105" spans="1:31" ht="30" customHeight="1" thickBot="1" x14ac:dyDescent="0.3">
      <c r="A105" s="555" t="s">
        <v>19</v>
      </c>
      <c r="B105" s="130"/>
      <c r="C105" s="130"/>
      <c r="D105" s="130"/>
      <c r="E105" s="130"/>
      <c r="F105" s="131"/>
      <c r="G105" s="132"/>
      <c r="H105" s="132"/>
      <c r="I105" s="132"/>
      <c r="J105" s="132"/>
      <c r="K105" s="132"/>
      <c r="L105" s="130"/>
      <c r="M105" s="130"/>
      <c r="N105" s="130"/>
      <c r="O105" s="130"/>
      <c r="P105" s="130"/>
      <c r="Q105" s="133"/>
      <c r="R105" s="133"/>
      <c r="S105" s="133"/>
      <c r="T105" s="133"/>
      <c r="U105" s="134" t="s">
        <v>58</v>
      </c>
      <c r="V105" s="657"/>
      <c r="X105" s="582"/>
      <c r="Y105" s="576"/>
      <c r="Z105" s="130"/>
      <c r="AA105" s="130"/>
      <c r="AB105" s="130"/>
      <c r="AC105" s="130"/>
    </row>
    <row r="106" spans="1:31" x14ac:dyDescent="0.25">
      <c r="A106" s="232" t="s">
        <v>245</v>
      </c>
      <c r="B106" s="135"/>
      <c r="C106" s="135"/>
      <c r="D106" s="135"/>
      <c r="E106" s="135">
        <v>2</v>
      </c>
      <c r="F106" s="256">
        <v>19</v>
      </c>
      <c r="G106" s="136">
        <v>65</v>
      </c>
      <c r="H106" s="136"/>
      <c r="I106" s="136"/>
      <c r="J106" s="136"/>
      <c r="K106" s="136"/>
      <c r="L106" s="135"/>
      <c r="M106" s="135"/>
      <c r="N106" s="135"/>
      <c r="O106" s="135"/>
      <c r="P106" s="135"/>
      <c r="Q106" s="137">
        <f>G106</f>
        <v>65</v>
      </c>
      <c r="R106" s="137"/>
      <c r="S106" s="137"/>
      <c r="T106" s="137"/>
      <c r="U106" s="136">
        <f>(E106*F106*G106)/4</f>
        <v>617.5</v>
      </c>
      <c r="V106" s="110"/>
      <c r="X106" s="7"/>
      <c r="Y106" s="106"/>
      <c r="Z106" s="83">
        <v>617.5</v>
      </c>
      <c r="AA106" s="83"/>
      <c r="AB106" s="83"/>
      <c r="AC106" s="3"/>
    </row>
    <row r="107" spans="1:31" x14ac:dyDescent="0.25">
      <c r="A107" s="232" t="s">
        <v>142</v>
      </c>
      <c r="B107" s="7"/>
      <c r="C107" s="7"/>
      <c r="D107" s="7"/>
      <c r="E107" s="7">
        <v>2</v>
      </c>
      <c r="F107" s="119">
        <v>19</v>
      </c>
      <c r="G107" s="81">
        <v>41.15</v>
      </c>
      <c r="H107" s="81"/>
      <c r="I107" s="81"/>
      <c r="J107" s="81"/>
      <c r="K107" s="81"/>
      <c r="L107" s="7"/>
      <c r="M107" s="7"/>
      <c r="N107" s="7"/>
      <c r="O107" s="7"/>
      <c r="P107" s="7"/>
      <c r="Q107" s="138">
        <f>F107*G107</f>
        <v>781.85</v>
      </c>
      <c r="R107" s="138"/>
      <c r="S107" s="138"/>
      <c r="T107" s="138"/>
      <c r="U107" s="81">
        <f>(F107*G107*E107)/4</f>
        <v>390.92500000000001</v>
      </c>
      <c r="V107" s="110"/>
      <c r="X107" s="7"/>
      <c r="Y107" s="106"/>
      <c r="Z107" s="83">
        <v>390.92500000000001</v>
      </c>
      <c r="AA107" s="83"/>
      <c r="AB107" s="83"/>
      <c r="AC107" s="3"/>
    </row>
    <row r="108" spans="1:31" x14ac:dyDescent="0.25">
      <c r="A108" s="232" t="s">
        <v>147</v>
      </c>
      <c r="B108" s="7"/>
      <c r="C108" s="7"/>
      <c r="D108" s="7"/>
      <c r="E108" s="7">
        <v>2</v>
      </c>
      <c r="F108" s="119">
        <v>19</v>
      </c>
      <c r="G108" s="81">
        <v>35.229999999999997</v>
      </c>
      <c r="H108" s="81"/>
      <c r="I108" s="81"/>
      <c r="J108" s="81"/>
      <c r="K108" s="81"/>
      <c r="L108" s="7"/>
      <c r="M108" s="7"/>
      <c r="N108" s="7"/>
      <c r="O108" s="7"/>
      <c r="P108" s="7"/>
      <c r="Q108" s="138">
        <f>F108*G108</f>
        <v>669.36999999999989</v>
      </c>
      <c r="R108" s="138"/>
      <c r="S108" s="138"/>
      <c r="T108" s="138"/>
      <c r="U108" s="81">
        <f>(E108*F108*G108)/4</f>
        <v>334.68499999999995</v>
      </c>
      <c r="V108" s="110"/>
      <c r="X108" s="7"/>
      <c r="Y108" s="106"/>
      <c r="Z108" s="83">
        <v>334.68499999999995</v>
      </c>
      <c r="AA108" s="83"/>
      <c r="AB108" s="83"/>
      <c r="AC108" s="3"/>
      <c r="AE108" s="106"/>
    </row>
    <row r="109" spans="1:31" x14ac:dyDescent="0.25">
      <c r="A109" s="557" t="s">
        <v>151</v>
      </c>
      <c r="B109" s="139"/>
      <c r="C109" s="7"/>
      <c r="D109" s="7"/>
      <c r="E109" s="7">
        <v>2</v>
      </c>
      <c r="F109" s="119">
        <v>19</v>
      </c>
      <c r="G109" s="81">
        <v>17.3</v>
      </c>
      <c r="H109" s="81"/>
      <c r="I109" s="81"/>
      <c r="J109" s="81"/>
      <c r="K109" s="81"/>
      <c r="L109" s="7"/>
      <c r="M109" s="7"/>
      <c r="N109" s="7"/>
      <c r="O109" s="7"/>
      <c r="P109" s="7"/>
      <c r="Q109" s="138">
        <f>B109*G109</f>
        <v>0</v>
      </c>
      <c r="R109" s="138"/>
      <c r="S109" s="138"/>
      <c r="T109" s="138"/>
      <c r="U109" s="81">
        <f>(F109*G109*E109)/4</f>
        <v>164.35</v>
      </c>
      <c r="V109" s="110"/>
      <c r="X109" s="7"/>
      <c r="Y109" s="106"/>
      <c r="Z109" s="83">
        <v>164.35</v>
      </c>
      <c r="AA109" s="83"/>
      <c r="AB109" s="83"/>
      <c r="AC109" s="83"/>
    </row>
    <row r="110" spans="1:31" x14ac:dyDescent="0.25">
      <c r="A110" s="558" t="s">
        <v>228</v>
      </c>
      <c r="B110" s="139"/>
      <c r="C110" s="7"/>
      <c r="D110" s="7"/>
      <c r="E110" s="7"/>
      <c r="F110" s="119"/>
      <c r="G110" s="81">
        <v>1500</v>
      </c>
      <c r="H110" s="81"/>
      <c r="I110" s="81"/>
      <c r="J110" s="81"/>
      <c r="K110" s="81"/>
      <c r="L110" s="7"/>
      <c r="M110" s="7"/>
      <c r="N110" s="7"/>
      <c r="O110" s="7"/>
      <c r="P110" s="7"/>
      <c r="Q110" s="138">
        <f>F110*G110</f>
        <v>0</v>
      </c>
      <c r="R110" s="138"/>
      <c r="S110" s="138"/>
      <c r="T110" s="138"/>
      <c r="U110" s="81">
        <f>G110</f>
        <v>1500</v>
      </c>
      <c r="V110" s="110"/>
      <c r="X110" s="7"/>
      <c r="Y110" s="106"/>
      <c r="Z110" s="83">
        <v>1500</v>
      </c>
      <c r="AA110" s="83"/>
      <c r="AB110" s="83"/>
      <c r="AC110" s="83"/>
      <c r="AE110" s="106"/>
    </row>
    <row r="111" spans="1:31" x14ac:dyDescent="0.25">
      <c r="A111" s="558" t="s">
        <v>403</v>
      </c>
      <c r="B111" s="139"/>
      <c r="C111" s="7"/>
      <c r="D111" s="7"/>
      <c r="E111" s="7"/>
      <c r="F111" s="119"/>
      <c r="G111" s="81">
        <v>1500</v>
      </c>
      <c r="H111" s="81"/>
      <c r="I111" s="81"/>
      <c r="J111" s="81"/>
      <c r="K111" s="81"/>
      <c r="L111" s="7"/>
      <c r="M111" s="7"/>
      <c r="N111" s="7"/>
      <c r="O111" s="7"/>
      <c r="P111" s="7"/>
      <c r="Q111" s="138"/>
      <c r="R111" s="138"/>
      <c r="S111" s="138"/>
      <c r="T111" s="138"/>
      <c r="U111" s="81">
        <f>G111</f>
        <v>1500</v>
      </c>
      <c r="V111" s="110"/>
      <c r="X111" s="7"/>
      <c r="Y111" s="106"/>
      <c r="Z111" s="83"/>
      <c r="AA111" s="83"/>
      <c r="AB111" s="83"/>
      <c r="AC111" s="83"/>
      <c r="AE111" s="106"/>
    </row>
    <row r="112" spans="1:31" x14ac:dyDescent="0.25">
      <c r="A112" s="558" t="s">
        <v>404</v>
      </c>
      <c r="B112" s="139"/>
      <c r="C112" s="7"/>
      <c r="D112" s="7"/>
      <c r="E112" s="7"/>
      <c r="F112" s="119">
        <v>12</v>
      </c>
      <c r="G112" s="81">
        <v>80</v>
      </c>
      <c r="H112" s="81"/>
      <c r="I112" s="81"/>
      <c r="J112" s="81"/>
      <c r="K112" s="81"/>
      <c r="L112" s="7"/>
      <c r="M112" s="7"/>
      <c r="N112" s="7"/>
      <c r="O112" s="7"/>
      <c r="P112" s="7"/>
      <c r="Q112" s="138"/>
      <c r="R112" s="138"/>
      <c r="S112" s="138"/>
      <c r="T112" s="138"/>
      <c r="U112" s="81">
        <f>F112*G112</f>
        <v>960</v>
      </c>
      <c r="V112" s="110"/>
      <c r="X112" s="7"/>
      <c r="Y112" s="106"/>
      <c r="Z112" s="83"/>
      <c r="AA112" s="83"/>
      <c r="AB112" s="83"/>
      <c r="AC112" s="83"/>
      <c r="AE112" s="106"/>
    </row>
    <row r="113" spans="1:34" x14ac:dyDescent="0.25">
      <c r="A113" s="558" t="s">
        <v>227</v>
      </c>
      <c r="B113" s="139"/>
      <c r="C113" s="7"/>
      <c r="D113" s="7"/>
      <c r="E113" s="7"/>
      <c r="F113" s="119"/>
      <c r="G113" s="81">
        <v>2000</v>
      </c>
      <c r="H113" s="81"/>
      <c r="I113" s="81"/>
      <c r="J113" s="81"/>
      <c r="K113" s="81"/>
      <c r="L113" s="7"/>
      <c r="M113" s="7"/>
      <c r="N113" s="7"/>
      <c r="O113" s="7"/>
      <c r="P113" s="7"/>
      <c r="Q113" s="138">
        <f>G113</f>
        <v>2000</v>
      </c>
      <c r="R113" s="138"/>
      <c r="S113" s="138"/>
      <c r="T113" s="138"/>
      <c r="U113" s="81">
        <f>G113</f>
        <v>2000</v>
      </c>
      <c r="V113" s="110"/>
      <c r="X113" s="7"/>
      <c r="Y113" s="106"/>
      <c r="Z113" s="83">
        <v>650</v>
      </c>
      <c r="AA113" s="83"/>
      <c r="AB113" s="83"/>
      <c r="AC113" s="83"/>
      <c r="AE113" s="106"/>
    </row>
    <row r="114" spans="1:34" x14ac:dyDescent="0.25">
      <c r="A114" s="558" t="s">
        <v>230</v>
      </c>
      <c r="B114" s="139"/>
      <c r="C114" s="7"/>
      <c r="D114" s="7"/>
      <c r="E114" s="7"/>
      <c r="F114" s="119"/>
      <c r="G114" s="81">
        <v>1500</v>
      </c>
      <c r="H114" s="81"/>
      <c r="I114" s="81"/>
      <c r="J114" s="81"/>
      <c r="K114" s="81"/>
      <c r="L114" s="7"/>
      <c r="M114" s="7"/>
      <c r="N114" s="7"/>
      <c r="O114" s="7"/>
      <c r="P114" s="7"/>
      <c r="Q114" s="138"/>
      <c r="R114" s="138"/>
      <c r="S114" s="138"/>
      <c r="T114" s="138"/>
      <c r="U114" s="81">
        <f>G114</f>
        <v>1500</v>
      </c>
      <c r="V114" s="110"/>
      <c r="X114" s="7"/>
      <c r="Y114" s="106"/>
      <c r="Z114" s="83"/>
      <c r="AA114" s="83"/>
      <c r="AB114" s="83"/>
      <c r="AC114" s="83"/>
      <c r="AE114" s="106"/>
    </row>
    <row r="115" spans="1:34" ht="15.75" thickBot="1" x14ac:dyDescent="0.3">
      <c r="A115" s="558" t="s">
        <v>405</v>
      </c>
      <c r="B115" s="7"/>
      <c r="C115" s="7"/>
      <c r="D115" s="7"/>
      <c r="E115" s="7"/>
      <c r="F115" s="119"/>
      <c r="G115" s="81">
        <v>6000</v>
      </c>
      <c r="H115" s="81"/>
      <c r="I115" s="81"/>
      <c r="J115" s="81"/>
      <c r="K115" s="81"/>
      <c r="L115" s="7"/>
      <c r="M115" s="7"/>
      <c r="N115" s="7"/>
      <c r="O115" s="7"/>
      <c r="P115" s="7"/>
      <c r="Q115" s="138">
        <v>3000</v>
      </c>
      <c r="R115" s="138"/>
      <c r="S115" s="138"/>
      <c r="T115" s="138"/>
      <c r="U115" s="81">
        <v>6000</v>
      </c>
      <c r="V115" s="110"/>
      <c r="X115" s="7"/>
      <c r="Y115" s="106"/>
      <c r="Z115" s="83">
        <v>149</v>
      </c>
      <c r="AA115" s="83"/>
      <c r="AB115" s="83"/>
      <c r="AC115" s="83"/>
    </row>
    <row r="116" spans="1:34" ht="30" customHeight="1" thickBot="1" x14ac:dyDescent="0.3">
      <c r="A116" s="556" t="s">
        <v>19</v>
      </c>
      <c r="B116" s="140"/>
      <c r="C116" s="140"/>
      <c r="D116" s="140"/>
      <c r="E116" s="140"/>
      <c r="F116" s="141"/>
      <c r="G116" s="142"/>
      <c r="H116" s="142"/>
      <c r="I116" s="142"/>
      <c r="J116" s="142"/>
      <c r="K116" s="142"/>
      <c r="L116" s="140"/>
      <c r="M116" s="140"/>
      <c r="N116" s="140"/>
      <c r="O116" s="140"/>
      <c r="P116" s="140"/>
      <c r="Q116" s="143"/>
      <c r="R116" s="143"/>
      <c r="S116" s="143"/>
      <c r="T116" s="143"/>
      <c r="U116" s="144">
        <f>SUM(U106:U115)</f>
        <v>14967.46</v>
      </c>
      <c r="V116" s="641"/>
      <c r="W116" s="106">
        <f>Z116+AC116</f>
        <v>3806.46</v>
      </c>
      <c r="X116" s="550"/>
      <c r="Y116" s="140"/>
      <c r="Z116" s="142">
        <f>SUM(Z106:Z115)</f>
        <v>3806.46</v>
      </c>
      <c r="AA116" s="142"/>
      <c r="AB116" s="142"/>
      <c r="AC116" s="142"/>
    </row>
    <row r="117" spans="1:34" ht="10.5" customHeight="1" thickBot="1" x14ac:dyDescent="0.3">
      <c r="A117" s="235"/>
      <c r="B117" s="2"/>
      <c r="C117" s="2"/>
      <c r="D117" s="2"/>
      <c r="E117" s="2"/>
      <c r="F117" s="552"/>
      <c r="G117" s="110"/>
      <c r="H117" s="110"/>
      <c r="I117" s="110"/>
      <c r="J117" s="110"/>
      <c r="K117" s="110"/>
      <c r="L117" s="2"/>
      <c r="M117" s="2"/>
      <c r="N117" s="2"/>
      <c r="O117" s="2"/>
      <c r="P117" s="2"/>
      <c r="Q117" s="553"/>
      <c r="R117" s="553"/>
      <c r="S117" s="553"/>
      <c r="T117" s="553"/>
      <c r="U117" s="554"/>
      <c r="V117" s="641"/>
      <c r="W117" s="106"/>
      <c r="X117" s="550"/>
      <c r="Y117" s="550"/>
      <c r="Z117" s="551"/>
      <c r="AA117" s="551"/>
      <c r="AB117" s="551"/>
      <c r="AC117" s="551"/>
    </row>
    <row r="118" spans="1:34" ht="21.95" customHeight="1" thickBot="1" x14ac:dyDescent="0.3">
      <c r="A118" s="549" t="s">
        <v>59</v>
      </c>
      <c r="B118" s="145"/>
      <c r="C118" s="145"/>
      <c r="D118" s="145"/>
      <c r="E118" s="145"/>
      <c r="F118" s="145"/>
      <c r="G118" s="145"/>
      <c r="H118" s="145"/>
      <c r="I118" s="145"/>
      <c r="J118" s="145"/>
      <c r="K118" s="145"/>
      <c r="L118" s="145"/>
      <c r="M118" s="145"/>
      <c r="N118" s="145"/>
      <c r="O118" s="145"/>
      <c r="P118" s="145"/>
      <c r="Q118" s="146">
        <f>SUM(Q106:Q115)</f>
        <v>6516.2199999999993</v>
      </c>
      <c r="R118" s="146"/>
      <c r="S118" s="146"/>
      <c r="T118" s="146"/>
      <c r="U118" s="147">
        <f>U103+U116</f>
        <v>158682.79</v>
      </c>
      <c r="V118" s="658"/>
      <c r="W118" s="106">
        <f>Y118+Z118+AC118</f>
        <v>41539.599999999999</v>
      </c>
      <c r="X118" s="145"/>
      <c r="Y118" s="148">
        <f>Y103</f>
        <v>37733.14</v>
      </c>
      <c r="Z118" s="148">
        <f>Z116</f>
        <v>3806.46</v>
      </c>
      <c r="AA118" s="148"/>
      <c r="AB118" s="148"/>
      <c r="AC118" s="148"/>
    </row>
    <row r="119" spans="1:34" ht="30" customHeight="1" thickBot="1" x14ac:dyDescent="0.3">
      <c r="A119" s="236" t="s">
        <v>60</v>
      </c>
      <c r="B119" s="149"/>
      <c r="C119" s="149"/>
      <c r="D119" s="149"/>
      <c r="E119" s="149"/>
      <c r="F119" s="150"/>
      <c r="G119" s="151"/>
      <c r="H119" s="151"/>
      <c r="I119" s="151"/>
      <c r="J119" s="151"/>
      <c r="K119" s="151"/>
      <c r="L119" s="152"/>
      <c r="M119" s="152"/>
      <c r="N119" s="149"/>
      <c r="O119" s="149"/>
      <c r="P119" s="149"/>
      <c r="Q119" s="153" t="e">
        <f>Q86+Q103+Q118</f>
        <v>#REF!</v>
      </c>
      <c r="R119" s="153"/>
      <c r="S119" s="153"/>
      <c r="T119" s="153"/>
      <c r="U119" s="154">
        <f>U118+U86</f>
        <v>3861387.2761477409</v>
      </c>
      <c r="V119" s="659"/>
      <c r="W119" s="106">
        <f>X119+Y119+Z119+AC119</f>
        <v>41539.599999999999</v>
      </c>
      <c r="X119" s="155"/>
      <c r="Y119" s="155">
        <f>Y118</f>
        <v>37733.14</v>
      </c>
      <c r="Z119" s="155">
        <f>Z116</f>
        <v>3806.46</v>
      </c>
      <c r="AA119" s="155"/>
      <c r="AB119" s="155"/>
      <c r="AC119" s="155"/>
    </row>
    <row r="120" spans="1:34" ht="20.100000000000001" customHeight="1" x14ac:dyDescent="0.25">
      <c r="A120" s="237" t="s">
        <v>61</v>
      </c>
      <c r="B120" s="156"/>
      <c r="C120" s="156"/>
      <c r="D120" s="156"/>
      <c r="E120" s="156"/>
      <c r="F120" s="156"/>
      <c r="G120" s="156"/>
      <c r="H120" s="156"/>
      <c r="I120" s="156"/>
      <c r="J120" s="156"/>
      <c r="K120" s="156"/>
      <c r="L120" s="157"/>
      <c r="M120" s="157"/>
      <c r="N120" s="156"/>
      <c r="O120" s="156"/>
      <c r="P120" s="156"/>
      <c r="Q120" s="158"/>
      <c r="R120" s="158"/>
      <c r="S120" s="158"/>
      <c r="T120" s="158"/>
      <c r="U120" s="158"/>
      <c r="V120" s="655"/>
      <c r="W120" s="159"/>
      <c r="X120" s="156"/>
      <c r="Y120" s="156"/>
      <c r="Z120" s="156"/>
      <c r="AA120" s="156"/>
      <c r="AB120" s="156"/>
      <c r="AC120" s="156"/>
      <c r="AD120" s="106"/>
    </row>
    <row r="121" spans="1:34" ht="28.5" customHeight="1" x14ac:dyDescent="0.25">
      <c r="A121" s="238" t="s">
        <v>62</v>
      </c>
      <c r="B121" s="283">
        <v>0.06</v>
      </c>
      <c r="C121" s="7"/>
      <c r="D121" s="7"/>
      <c r="E121" s="7"/>
      <c r="F121" s="7"/>
      <c r="G121" s="160">
        <f>U119</f>
        <v>3861387.2761477409</v>
      </c>
      <c r="H121" s="160"/>
      <c r="I121" s="160"/>
      <c r="J121" s="160"/>
      <c r="K121" s="160"/>
      <c r="L121" s="7"/>
      <c r="M121" s="7"/>
      <c r="N121" s="7"/>
      <c r="O121" s="7"/>
      <c r="P121" s="7"/>
      <c r="Q121" s="161">
        <f>B121*G121</f>
        <v>231683.23656886443</v>
      </c>
      <c r="R121" s="161"/>
      <c r="S121" s="161"/>
      <c r="T121" s="161"/>
      <c r="U121" s="162">
        <f>(G121*B121)+0.001</f>
        <v>231683.23756886442</v>
      </c>
      <c r="V121" s="99"/>
      <c r="W121" s="163"/>
      <c r="X121" s="3"/>
      <c r="Z121" s="164">
        <f>U121</f>
        <v>231683.23756886442</v>
      </c>
      <c r="AA121" s="164"/>
      <c r="AB121" s="164"/>
      <c r="AC121" s="3"/>
    </row>
    <row r="122" spans="1:34" ht="26.45" customHeight="1" x14ac:dyDescent="0.25">
      <c r="A122" s="232" t="s">
        <v>20</v>
      </c>
      <c r="B122" s="283">
        <v>0.05</v>
      </c>
      <c r="C122" s="7"/>
      <c r="D122" s="7"/>
      <c r="E122" s="7"/>
      <c r="F122" s="7"/>
      <c r="G122" s="160">
        <f>U119</f>
        <v>3861387.2761477409</v>
      </c>
      <c r="H122" s="160"/>
      <c r="I122" s="160"/>
      <c r="J122" s="160"/>
      <c r="K122" s="160"/>
      <c r="L122" s="7"/>
      <c r="M122" s="7"/>
      <c r="N122" s="7"/>
      <c r="O122" s="7"/>
      <c r="P122" s="7"/>
      <c r="Q122" s="80">
        <f>G122*B122+0.0035</f>
        <v>193069.36730738706</v>
      </c>
      <c r="R122" s="80"/>
      <c r="S122" s="80"/>
      <c r="T122" s="80"/>
      <c r="U122" s="160">
        <f>(G122*B122)</f>
        <v>193069.36380738707</v>
      </c>
      <c r="V122" s="660"/>
      <c r="W122" s="163"/>
      <c r="X122" s="3"/>
      <c r="Z122" s="3"/>
      <c r="AA122" s="164">
        <f>'TAULA MARE (proba) (2)'!$U$122</f>
        <v>193069.36380738707</v>
      </c>
      <c r="AB122" s="164"/>
      <c r="AC122" s="3"/>
    </row>
    <row r="123" spans="1:34" ht="30" customHeight="1" thickBot="1" x14ac:dyDescent="0.3">
      <c r="A123" s="240" t="s">
        <v>21</v>
      </c>
      <c r="B123" s="168"/>
      <c r="C123" s="168"/>
      <c r="D123" s="168"/>
      <c r="E123" s="168"/>
      <c r="F123" s="168"/>
      <c r="G123" s="168"/>
      <c r="H123" s="168"/>
      <c r="I123" s="168"/>
      <c r="J123" s="168"/>
      <c r="K123" s="168"/>
      <c r="L123" s="168"/>
      <c r="M123" s="168"/>
      <c r="N123" s="168"/>
      <c r="O123" s="168"/>
      <c r="P123" s="168"/>
      <c r="Q123" s="169">
        <f>SUM(Q121:Q122)-0.0001</f>
        <v>424752.60377625149</v>
      </c>
      <c r="R123" s="169"/>
      <c r="S123" s="169"/>
      <c r="T123" s="169"/>
      <c r="U123" s="170">
        <f>SUM(U121:U122)</f>
        <v>424752.60137625149</v>
      </c>
      <c r="V123" s="661"/>
      <c r="W123" s="171">
        <f>X123+Y123+Z123+AA123+AC123</f>
        <v>424752.60137625149</v>
      </c>
      <c r="X123" s="149"/>
      <c r="Y123" s="149"/>
      <c r="Z123" s="172">
        <f>SUM(Z121:Z122)</f>
        <v>231683.23756886442</v>
      </c>
      <c r="AA123" s="172">
        <f>AA122</f>
        <v>193069.36380738707</v>
      </c>
      <c r="AB123" s="172"/>
      <c r="AC123" s="149"/>
    </row>
    <row r="124" spans="1:34" ht="27.6" customHeight="1" thickTop="1" thickBot="1" x14ac:dyDescent="0.35">
      <c r="A124" s="241" t="s">
        <v>22</v>
      </c>
      <c r="B124" s="173"/>
      <c r="C124" s="173"/>
      <c r="D124" s="173"/>
      <c r="E124" s="173"/>
      <c r="F124" s="173"/>
      <c r="G124" s="173"/>
      <c r="H124" s="173"/>
      <c r="I124" s="173"/>
      <c r="J124" s="173"/>
      <c r="K124" s="173"/>
      <c r="L124" s="173"/>
      <c r="M124" s="173"/>
      <c r="N124" s="173"/>
      <c r="O124" s="173"/>
      <c r="P124" s="173"/>
      <c r="Q124" s="174" t="e">
        <f>Q119+Q123-0.009</f>
        <v>#REF!</v>
      </c>
      <c r="R124" s="174"/>
      <c r="S124" s="174"/>
      <c r="T124" s="174"/>
      <c r="U124" s="175">
        <f>U86+U118+U123</f>
        <v>4286139.8775239922</v>
      </c>
      <c r="V124" s="662"/>
      <c r="W124" s="171" t="e">
        <f>SUM(X124:AC124)</f>
        <v>#REF!</v>
      </c>
      <c r="X124" s="176"/>
      <c r="Y124" s="177">
        <f>Y119</f>
        <v>37733.14</v>
      </c>
      <c r="Z124" s="177">
        <f>Z119+Z123</f>
        <v>235489.69756886442</v>
      </c>
      <c r="AA124" s="177">
        <f>AA123</f>
        <v>193069.36380738707</v>
      </c>
      <c r="AB124" s="177" t="e">
        <f>AB86</f>
        <v>#REF!</v>
      </c>
      <c r="AC124" s="178">
        <f>AC119</f>
        <v>0</v>
      </c>
      <c r="AH124" s="106"/>
    </row>
    <row r="125" spans="1:34" ht="21.6" customHeight="1" thickTop="1" x14ac:dyDescent="0.25">
      <c r="A125" s="216" t="s">
        <v>63</v>
      </c>
      <c r="B125" s="179">
        <v>0.1</v>
      </c>
      <c r="G125" s="20">
        <f>U124</f>
        <v>4286139.8775239922</v>
      </c>
      <c r="H125" s="20"/>
      <c r="I125" s="20"/>
      <c r="J125" s="20"/>
      <c r="K125" s="20"/>
      <c r="Q125" s="180">
        <f>G125*10%</f>
        <v>428613.98775239923</v>
      </c>
      <c r="R125" s="180"/>
      <c r="S125" s="180"/>
      <c r="T125" s="180"/>
      <c r="U125" s="160">
        <f>U124*B125</f>
        <v>428613.98775239923</v>
      </c>
      <c r="V125" s="660"/>
      <c r="W125" s="171"/>
      <c r="X125" s="106"/>
      <c r="Y125" s="106"/>
      <c r="Z125" s="106"/>
      <c r="AA125" s="106"/>
      <c r="AB125" s="106"/>
      <c r="AC125" s="106">
        <f>AC124*10%</f>
        <v>0</v>
      </c>
    </row>
    <row r="126" spans="1:34" ht="15.75" x14ac:dyDescent="0.25">
      <c r="A126" s="242" t="s">
        <v>23</v>
      </c>
      <c r="B126" s="181"/>
      <c r="C126" s="181"/>
      <c r="D126" s="181"/>
      <c r="E126" s="181"/>
      <c r="F126" s="181"/>
      <c r="G126" s="181"/>
      <c r="H126" s="181"/>
      <c r="I126" s="181"/>
      <c r="J126" s="181"/>
      <c r="K126" s="181"/>
      <c r="L126" s="181"/>
      <c r="M126" s="181"/>
      <c r="N126" s="181"/>
      <c r="O126" s="181"/>
      <c r="P126" s="181"/>
      <c r="Q126" s="182" t="e">
        <f>Q124+Q125</f>
        <v>#REF!</v>
      </c>
      <c r="R126" s="182"/>
      <c r="S126" s="182"/>
      <c r="T126" s="182"/>
      <c r="U126" s="183">
        <f>U124+U125</f>
        <v>4714753.8652763916</v>
      </c>
      <c r="V126" s="663"/>
      <c r="W126" s="171"/>
      <c r="X126" s="184"/>
      <c r="Y126" s="184"/>
      <c r="Z126" s="184"/>
      <c r="AA126" s="184"/>
      <c r="AB126" s="184"/>
      <c r="AC126" s="184">
        <f t="shared" ref="AC126" si="9">AC124+AC125</f>
        <v>0</v>
      </c>
    </row>
    <row r="127" spans="1:34" x14ac:dyDescent="0.25">
      <c r="K127" s="20"/>
      <c r="W127" s="171"/>
      <c r="Y127" s="106"/>
    </row>
    <row r="128" spans="1:34" ht="30.75" customHeight="1" x14ac:dyDescent="0.25">
      <c r="Q128" s="20"/>
      <c r="R128" s="20"/>
      <c r="S128" s="20"/>
      <c r="T128" s="20"/>
      <c r="U128" s="106"/>
      <c r="V128" s="110"/>
      <c r="Y128" s="185"/>
    </row>
    <row r="129" spans="5:29" x14ac:dyDescent="0.25">
      <c r="Q129" s="186"/>
      <c r="R129" s="186"/>
      <c r="S129" s="186"/>
      <c r="T129" s="186"/>
      <c r="W129" s="1707" t="s">
        <v>64</v>
      </c>
      <c r="X129" s="1707"/>
      <c r="Y129" s="187">
        <f>X124+Y124+Z124+AA124</f>
        <v>466292.20137625147</v>
      </c>
      <c r="Z129" s="263">
        <v>2074562.9220066876</v>
      </c>
      <c r="AA129" s="171"/>
      <c r="AB129" s="188"/>
      <c r="AC129" s="189"/>
    </row>
    <row r="130" spans="5:29" x14ac:dyDescent="0.25">
      <c r="G130" s="190"/>
      <c r="H130" s="190"/>
      <c r="I130" s="190"/>
      <c r="J130" s="190"/>
      <c r="N130" s="186"/>
      <c r="O130" s="186"/>
      <c r="P130" s="20"/>
      <c r="U130">
        <v>800</v>
      </c>
      <c r="W130" s="1707" t="s">
        <v>231</v>
      </c>
      <c r="X130" s="1707"/>
      <c r="Y130" s="106">
        <v>31200</v>
      </c>
      <c r="Z130" s="106">
        <f>Y130/U130</f>
        <v>39</v>
      </c>
      <c r="AA130" s="106"/>
    </row>
    <row r="131" spans="5:29" x14ac:dyDescent="0.25">
      <c r="F131" s="191"/>
      <c r="G131" s="192"/>
      <c r="H131" s="192"/>
      <c r="I131" s="192"/>
      <c r="J131" s="193"/>
      <c r="K131" s="194"/>
      <c r="L131" s="195"/>
      <c r="M131" s="195"/>
      <c r="P131" s="196"/>
      <c r="Q131" s="197"/>
      <c r="R131" s="197"/>
      <c r="S131" s="197"/>
      <c r="T131" s="197"/>
      <c r="U131">
        <v>400</v>
      </c>
      <c r="W131" s="198" t="s">
        <v>232</v>
      </c>
      <c r="X131" s="198"/>
      <c r="Y131" s="99">
        <v>22800</v>
      </c>
      <c r="Z131" s="106">
        <f>Y131/U131</f>
        <v>57</v>
      </c>
      <c r="AA131" s="106"/>
    </row>
    <row r="132" spans="5:29" x14ac:dyDescent="0.25">
      <c r="E132" s="195"/>
      <c r="G132" s="199"/>
      <c r="H132" s="199"/>
      <c r="I132" s="199"/>
      <c r="J132" s="193"/>
      <c r="K132" s="179"/>
      <c r="L132" s="194"/>
      <c r="M132" s="194"/>
      <c r="U132">
        <v>50</v>
      </c>
      <c r="W132" t="s">
        <v>233</v>
      </c>
      <c r="Y132" s="264">
        <v>3300</v>
      </c>
      <c r="Z132" s="106">
        <f>Y132/U132</f>
        <v>66</v>
      </c>
      <c r="AA132" s="106"/>
    </row>
    <row r="133" spans="5:29" x14ac:dyDescent="0.25">
      <c r="G133" s="192"/>
      <c r="H133" s="192"/>
      <c r="I133" s="192"/>
      <c r="J133" s="193"/>
      <c r="K133" s="201"/>
      <c r="L133" s="194"/>
      <c r="M133" s="194"/>
      <c r="Y133" s="200">
        <f>SUM(Y129:Y132)</f>
        <v>523592.20137625147</v>
      </c>
      <c r="Z133" s="106"/>
      <c r="AA133" s="106"/>
      <c r="AC133" s="106"/>
    </row>
    <row r="134" spans="5:29" x14ac:dyDescent="0.25">
      <c r="G134" s="20"/>
      <c r="H134" s="20"/>
      <c r="I134" s="20"/>
      <c r="J134" s="202"/>
      <c r="L134" s="193"/>
      <c r="M134" s="193"/>
      <c r="Y134" s="106"/>
    </row>
    <row r="135" spans="5:29" x14ac:dyDescent="0.25">
      <c r="G135" s="20"/>
      <c r="H135" s="20"/>
      <c r="I135" s="20"/>
      <c r="L135" s="202"/>
      <c r="M135" s="202"/>
      <c r="P135" s="203"/>
    </row>
    <row r="136" spans="5:29" x14ac:dyDescent="0.25">
      <c r="G136" s="20"/>
      <c r="H136" s="20"/>
      <c r="I136" s="20"/>
      <c r="K136" s="194"/>
      <c r="P136" s="194"/>
    </row>
    <row r="137" spans="5:29" x14ac:dyDescent="0.25">
      <c r="G137" s="20"/>
      <c r="H137" s="20"/>
      <c r="I137" s="20"/>
      <c r="J137" s="195"/>
      <c r="K137" s="202"/>
      <c r="Y137" s="106"/>
    </row>
    <row r="138" spans="5:29" x14ac:dyDescent="0.25">
      <c r="J138" s="202"/>
    </row>
    <row r="139" spans="5:29" x14ac:dyDescent="0.25">
      <c r="G139" s="20"/>
      <c r="H139" s="20"/>
      <c r="I139" s="20"/>
    </row>
    <row r="140" spans="5:29" x14ac:dyDescent="0.25">
      <c r="U140" s="20"/>
      <c r="V140" s="660"/>
    </row>
  </sheetData>
  <mergeCells count="5">
    <mergeCell ref="A1:W1"/>
    <mergeCell ref="A3:W3"/>
    <mergeCell ref="A4:W4"/>
    <mergeCell ref="W129:X129"/>
    <mergeCell ref="W130:X130"/>
  </mergeCells>
  <printOptions horizontalCentered="1"/>
  <pageMargins left="0.23622047244094491" right="0.23622047244094491" top="0.74803149606299213" bottom="0.74803149606299213" header="0.31496062992125984" footer="0.31496062992125984"/>
  <pageSetup paperSize="8" scale="45" orientation="portrait" r:id="rId1"/>
  <customProperties>
    <customPr name="EpmWorksheetKeyString_GUID" r:id="rId2"/>
  </customProperties>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pageSetUpPr fitToPage="1"/>
  </sheetPr>
  <dimension ref="A1:Q76"/>
  <sheetViews>
    <sheetView zoomScale="115" zoomScaleNormal="115" workbookViewId="0">
      <selection activeCell="J23" sqref="J23"/>
    </sheetView>
  </sheetViews>
  <sheetFormatPr defaultRowHeight="15" x14ac:dyDescent="0.25"/>
  <cols>
    <col min="1" max="1" width="5.5703125" style="284" customWidth="1"/>
    <col min="2" max="2" width="6.7109375" bestFit="1" customWidth="1"/>
    <col min="3" max="3" width="64.28515625" bestFit="1" customWidth="1"/>
    <col min="4" max="4" width="17.85546875" bestFit="1" customWidth="1"/>
    <col min="5" max="5" width="17.85546875" customWidth="1"/>
    <col min="6" max="6" width="20.42578125" hidden="1" customWidth="1"/>
    <col min="7" max="7" width="16.42578125" hidden="1" customWidth="1"/>
    <col min="8" max="8" width="16.85546875" style="284" hidden="1" customWidth="1"/>
    <col min="9" max="9" width="57.42578125" hidden="1" customWidth="1"/>
    <col min="11" max="17" width="0" hidden="1" customWidth="1"/>
  </cols>
  <sheetData>
    <row r="1" spans="1:17" x14ac:dyDescent="0.25">
      <c r="C1">
        <v>57095.5</v>
      </c>
    </row>
    <row r="3" spans="1:17" s="309" customFormat="1" ht="21" x14ac:dyDescent="0.35">
      <c r="A3" s="310"/>
      <c r="C3" s="1681" t="s">
        <v>280</v>
      </c>
      <c r="D3" s="1681"/>
      <c r="E3" s="1681"/>
      <c r="F3" s="1681"/>
      <c r="G3" s="1681"/>
      <c r="H3" s="1681"/>
      <c r="I3" s="1681"/>
    </row>
    <row r="4" spans="1:17" s="309" customFormat="1" ht="21" x14ac:dyDescent="0.35">
      <c r="A4" s="310"/>
      <c r="C4" s="1681"/>
      <c r="D4" s="1681"/>
      <c r="E4" s="1681"/>
      <c r="F4" s="1681"/>
      <c r="G4" s="1681"/>
      <c r="H4" s="1681"/>
      <c r="I4" s="1681"/>
    </row>
    <row r="5" spans="1:17" ht="15.75" thickBot="1" x14ac:dyDescent="0.3"/>
    <row r="6" spans="1:17" ht="15.75" thickBot="1" x14ac:dyDescent="0.3">
      <c r="A6" s="298">
        <v>1</v>
      </c>
      <c r="B6" s="306" t="s">
        <v>258</v>
      </c>
      <c r="C6" s="308" t="s">
        <v>264</v>
      </c>
      <c r="D6" s="367" t="s">
        <v>254</v>
      </c>
      <c r="E6" s="367"/>
      <c r="F6" s="367" t="s">
        <v>253</v>
      </c>
      <c r="G6" s="367" t="s">
        <v>252</v>
      </c>
      <c r="H6" s="367" t="s">
        <v>251</v>
      </c>
      <c r="I6" s="367" t="s">
        <v>262</v>
      </c>
    </row>
    <row r="7" spans="1:17" ht="15.75" thickBot="1" x14ac:dyDescent="0.3">
      <c r="A7" s="298"/>
      <c r="B7" s="257"/>
      <c r="C7" s="797" t="s">
        <v>495</v>
      </c>
      <c r="D7" s="798"/>
      <c r="E7" s="798"/>
      <c r="F7" s="798"/>
      <c r="G7" s="798"/>
      <c r="H7" s="798"/>
      <c r="I7" s="367"/>
    </row>
    <row r="8" spans="1:17" ht="20.100000000000001" customHeight="1" thickBot="1" x14ac:dyDescent="0.3">
      <c r="C8" s="583" t="s">
        <v>66</v>
      </c>
      <c r="D8" s="584">
        <f>'CALCUL ANUAL SASSEP'!$S$22</f>
        <v>50960.832000000002</v>
      </c>
      <c r="E8" s="584"/>
      <c r="F8" s="318">
        <f>F9</f>
        <v>48881.05</v>
      </c>
      <c r="G8" s="318">
        <f>G9</f>
        <v>25479.211560000003</v>
      </c>
      <c r="H8" s="700">
        <f>H9</f>
        <v>0.29437782665405543</v>
      </c>
      <c r="I8" s="574"/>
      <c r="K8" t="s">
        <v>265</v>
      </c>
      <c r="M8">
        <v>1700</v>
      </c>
      <c r="N8">
        <v>1</v>
      </c>
      <c r="O8">
        <v>29513.4</v>
      </c>
      <c r="P8">
        <v>39105.254999999997</v>
      </c>
      <c r="Q8">
        <v>39105.254999999997</v>
      </c>
    </row>
    <row r="9" spans="1:17" ht="35.1" customHeight="1" x14ac:dyDescent="0.25">
      <c r="C9" s="224" t="s">
        <v>426</v>
      </c>
      <c r="D9" s="697">
        <f>'CALCUL ANUAL SASSEP'!$S$21</f>
        <v>69273.68759999999</v>
      </c>
      <c r="E9" s="697"/>
      <c r="F9" s="320">
        <v>48881.05</v>
      </c>
      <c r="G9" s="320">
        <v>25479.211560000003</v>
      </c>
      <c r="H9" s="926">
        <f>(D9-F9)/D9</f>
        <v>0.29437782665405543</v>
      </c>
      <c r="I9" s="891" t="s">
        <v>471</v>
      </c>
    </row>
    <row r="10" spans="1:17" ht="20.100000000000001" customHeight="1" x14ac:dyDescent="0.25">
      <c r="C10" s="394" t="s">
        <v>297</v>
      </c>
      <c r="D10" s="724">
        <f>SUM(D11:D15)</f>
        <v>2464563.5146844569</v>
      </c>
      <c r="E10" s="584"/>
      <c r="F10" s="318">
        <f>SUM(F11:F14)</f>
        <v>1590356.1203781241</v>
      </c>
      <c r="G10" s="318">
        <f>SUM(G11:G15)</f>
        <v>788269.57430633286</v>
      </c>
      <c r="H10" s="319"/>
      <c r="I10" s="892"/>
      <c r="K10" t="s">
        <v>267</v>
      </c>
      <c r="M10">
        <v>27200</v>
      </c>
      <c r="N10">
        <v>16</v>
      </c>
      <c r="O10">
        <v>20639.22</v>
      </c>
      <c r="P10">
        <v>27346.966500000002</v>
      </c>
      <c r="Q10">
        <v>437551.46400000004</v>
      </c>
    </row>
    <row r="11" spans="1:17" ht="20.100000000000001" customHeight="1" x14ac:dyDescent="0.25">
      <c r="C11" s="712" t="s">
        <v>67</v>
      </c>
      <c r="D11" s="722">
        <f>'CALCUL ANUAL SASSEP'!$S$37</f>
        <v>270116.22456</v>
      </c>
      <c r="E11" s="701"/>
      <c r="F11" s="320">
        <v>89853.625120000012</v>
      </c>
      <c r="G11" s="320">
        <f t="shared" ref="G11:G14" si="0">D11-F11</f>
        <v>180262.59943999999</v>
      </c>
      <c r="H11" s="927">
        <f t="shared" ref="H11:H14" si="1">(D11/F11)-1</f>
        <v>2.006180598715503</v>
      </c>
      <c r="I11" s="1682" t="s">
        <v>505</v>
      </c>
      <c r="K11" t="s">
        <v>268</v>
      </c>
      <c r="M11">
        <v>29895.495495495499</v>
      </c>
      <c r="N11">
        <v>17.585585585585587</v>
      </c>
      <c r="O11">
        <v>20639.22</v>
      </c>
      <c r="P11">
        <v>27346.966500000002</v>
      </c>
      <c r="Q11">
        <v>480912.419891892</v>
      </c>
    </row>
    <row r="12" spans="1:17" ht="23.45" customHeight="1" x14ac:dyDescent="0.25">
      <c r="C12" s="363" t="s">
        <v>300</v>
      </c>
      <c r="D12" s="701">
        <v>1544948.2968972088</v>
      </c>
      <c r="E12" s="701"/>
      <c r="F12" s="301">
        <v>1087957.2</v>
      </c>
      <c r="G12" s="301">
        <f t="shared" si="0"/>
        <v>456991.09689720883</v>
      </c>
      <c r="H12" s="927">
        <f t="shared" si="1"/>
        <v>0.42004510554018926</v>
      </c>
      <c r="I12" s="1682"/>
    </row>
    <row r="13" spans="1:17" ht="21.6" customHeight="1" x14ac:dyDescent="0.25">
      <c r="C13" s="364" t="s">
        <v>123</v>
      </c>
      <c r="D13" s="701">
        <v>314710.68322724808</v>
      </c>
      <c r="E13" s="701"/>
      <c r="F13" s="320">
        <v>172211.98</v>
      </c>
      <c r="G13" s="320">
        <f>D13-F13</f>
        <v>142498.70322724807</v>
      </c>
      <c r="H13" s="927">
        <f t="shared" si="1"/>
        <v>0.8274610350989986</v>
      </c>
      <c r="I13" s="1682"/>
    </row>
    <row r="14" spans="1:17" ht="37.5" customHeight="1" x14ac:dyDescent="0.25">
      <c r="C14" s="7" t="s">
        <v>303</v>
      </c>
      <c r="D14" s="701">
        <v>248850.49</v>
      </c>
      <c r="E14" s="701"/>
      <c r="F14" s="800">
        <v>240333.31525812403</v>
      </c>
      <c r="G14" s="301">
        <f t="shared" si="0"/>
        <v>8517.1747418759624</v>
      </c>
      <c r="H14" s="928">
        <f t="shared" si="1"/>
        <v>3.5439009913079689E-2</v>
      </c>
      <c r="I14" s="1683"/>
      <c r="K14" t="s">
        <v>269</v>
      </c>
      <c r="M14">
        <v>5100</v>
      </c>
      <c r="N14">
        <v>3</v>
      </c>
      <c r="O14">
        <v>20639.22</v>
      </c>
      <c r="P14">
        <v>27346.966500000002</v>
      </c>
      <c r="Q14">
        <v>82040.8995</v>
      </c>
    </row>
    <row r="15" spans="1:17" ht="26.45" customHeight="1" x14ac:dyDescent="0.25">
      <c r="C15" s="7" t="s">
        <v>472</v>
      </c>
      <c r="D15" s="701">
        <f>85937.82</f>
        <v>85937.82</v>
      </c>
      <c r="E15" s="701"/>
      <c r="F15" s="301" t="s">
        <v>523</v>
      </c>
      <c r="G15" s="301"/>
      <c r="H15" s="928"/>
      <c r="I15" s="810" t="s">
        <v>496</v>
      </c>
    </row>
    <row r="16" spans="1:17" ht="30.6" customHeight="1" x14ac:dyDescent="0.25">
      <c r="C16" s="848" t="s">
        <v>124</v>
      </c>
      <c r="D16" s="702" t="e">
        <f>SUM(D17:D24)</f>
        <v>#REF!</v>
      </c>
      <c r="E16" s="574"/>
      <c r="F16" s="910">
        <f>SUM(F17:F24)</f>
        <v>431681.18515749997</v>
      </c>
      <c r="G16" s="897">
        <f>SUM(G17:G25)</f>
        <v>64431.407999999996</v>
      </c>
      <c r="H16" s="849"/>
      <c r="I16" s="893"/>
      <c r="K16" t="s">
        <v>270</v>
      </c>
      <c r="M16">
        <v>5605.4054054054059</v>
      </c>
      <c r="N16">
        <v>3.2972972972972974</v>
      </c>
      <c r="O16">
        <v>20639.22</v>
      </c>
      <c r="P16">
        <v>27346.966500000002</v>
      </c>
      <c r="Q16">
        <v>90171.078729729736</v>
      </c>
    </row>
    <row r="17" spans="3:17" ht="20.100000000000001" customHeight="1" x14ac:dyDescent="0.25">
      <c r="C17" s="364" t="s">
        <v>499</v>
      </c>
      <c r="D17" s="701">
        <v>141603.57</v>
      </c>
      <c r="E17" s="701"/>
      <c r="F17" s="800">
        <v>109387.86600000001</v>
      </c>
      <c r="G17" s="160">
        <f>D17-F17</f>
        <v>32215.703999999998</v>
      </c>
      <c r="H17" s="929">
        <f>(D17-F17)/D17</f>
        <v>0.22750629804036718</v>
      </c>
      <c r="I17" s="1684" t="s">
        <v>522</v>
      </c>
    </row>
    <row r="18" spans="3:17" ht="20.100000000000001" customHeight="1" x14ac:dyDescent="0.25">
      <c r="C18" s="364" t="s">
        <v>498</v>
      </c>
      <c r="D18" s="701">
        <f>'CALCUL ANUAL SASSEP'!S92</f>
        <v>1379.4462864000002</v>
      </c>
      <c r="E18" s="701"/>
      <c r="F18" s="301">
        <v>66030.951000000001</v>
      </c>
      <c r="G18" s="7"/>
      <c r="H18" s="930">
        <f t="shared" ref="H18:H24" si="2">(D18-F18)/D18</f>
        <v>-46.8677217453126</v>
      </c>
      <c r="I18" s="1685"/>
    </row>
    <row r="19" spans="3:17" ht="20.100000000000001" customHeight="1" x14ac:dyDescent="0.25">
      <c r="C19" s="364" t="s">
        <v>493</v>
      </c>
      <c r="D19" s="701">
        <f>'CALCUL ANUAL SASSEP'!S95</f>
        <v>24386.639705999998</v>
      </c>
      <c r="E19" s="701"/>
      <c r="F19" s="301">
        <v>19735.394157499999</v>
      </c>
      <c r="G19" s="7"/>
      <c r="H19" s="924">
        <f t="shared" si="2"/>
        <v>0.19072925194181731</v>
      </c>
      <c r="I19" s="1685"/>
      <c r="K19" t="s">
        <v>272</v>
      </c>
      <c r="M19">
        <v>6800</v>
      </c>
      <c r="N19">
        <v>4</v>
      </c>
      <c r="O19">
        <v>20639.22</v>
      </c>
      <c r="P19">
        <v>27346.966500000002</v>
      </c>
      <c r="Q19">
        <v>109387.86600000001</v>
      </c>
    </row>
    <row r="20" spans="3:17" ht="20.100000000000001" customHeight="1" x14ac:dyDescent="0.25">
      <c r="C20" s="364" t="s">
        <v>497</v>
      </c>
      <c r="D20" s="701">
        <f>'CALCUL ANUAL SASSEP'!S99</f>
        <v>30630.6</v>
      </c>
      <c r="E20" s="701"/>
      <c r="F20" s="301">
        <v>48335.74</v>
      </c>
      <c r="G20" s="301"/>
      <c r="H20" s="929">
        <f t="shared" si="2"/>
        <v>-0.57802132508014858</v>
      </c>
      <c r="I20" s="1685"/>
      <c r="K20" t="s">
        <v>274</v>
      </c>
    </row>
    <row r="21" spans="3:17" ht="20.100000000000001" customHeight="1" x14ac:dyDescent="0.25">
      <c r="C21" s="364" t="s">
        <v>500</v>
      </c>
      <c r="D21" s="697">
        <f>'CALCUL ANUAL SASSEP'!S103</f>
        <v>106725.762</v>
      </c>
      <c r="E21" s="697"/>
      <c r="F21" s="320">
        <v>61013.175999999999</v>
      </c>
      <c r="G21" s="301"/>
      <c r="H21" s="929">
        <f t="shared" si="2"/>
        <v>0.42831819743765337</v>
      </c>
      <c r="I21" s="1685"/>
      <c r="K21" t="s">
        <v>275</v>
      </c>
      <c r="M21">
        <v>3400</v>
      </c>
      <c r="N21">
        <v>2</v>
      </c>
      <c r="O21">
        <v>23023.84</v>
      </c>
      <c r="P21">
        <v>30506.588</v>
      </c>
      <c r="Q21">
        <v>61013.175999999999</v>
      </c>
    </row>
    <row r="22" spans="3:17" ht="20.100000000000001" customHeight="1" x14ac:dyDescent="0.25">
      <c r="C22" s="364" t="s">
        <v>501</v>
      </c>
      <c r="D22" s="697" t="e">
        <f>'CALCUL ANUAL SASSEP'!#REF!</f>
        <v>#REF!</v>
      </c>
      <c r="E22" s="320"/>
      <c r="F22" s="320">
        <v>30506.588</v>
      </c>
      <c r="G22" s="301">
        <f>D17-F17</f>
        <v>32215.703999999998</v>
      </c>
      <c r="H22" s="929" t="e">
        <f>(D22-F22)/D22</f>
        <v>#REF!</v>
      </c>
      <c r="I22" s="1685"/>
      <c r="K22" t="s">
        <v>276</v>
      </c>
      <c r="M22">
        <v>1700</v>
      </c>
      <c r="N22">
        <v>1</v>
      </c>
      <c r="O22">
        <v>23023.84</v>
      </c>
      <c r="P22">
        <v>30506.588</v>
      </c>
      <c r="Q22">
        <v>30506.588</v>
      </c>
    </row>
    <row r="23" spans="3:17" ht="20.100000000000001" customHeight="1" x14ac:dyDescent="0.25">
      <c r="C23" s="365" t="s">
        <v>502</v>
      </c>
      <c r="D23" s="697" t="e">
        <f>'CALCUL ANUAL SASSEP'!#REF!</f>
        <v>#REF!</v>
      </c>
      <c r="E23" s="320"/>
      <c r="F23" s="320">
        <v>48335.735000000001</v>
      </c>
      <c r="G23" s="301"/>
      <c r="H23" s="929" t="e">
        <f t="shared" si="2"/>
        <v>#REF!</v>
      </c>
      <c r="I23" s="1685"/>
      <c r="K23" t="s">
        <v>277</v>
      </c>
      <c r="M23">
        <v>3400</v>
      </c>
      <c r="N23">
        <v>2</v>
      </c>
      <c r="O23">
        <v>18239.900000000001</v>
      </c>
      <c r="P23">
        <v>24167.8675</v>
      </c>
      <c r="Q23">
        <v>48335.735000000001</v>
      </c>
    </row>
    <row r="24" spans="3:17" ht="20.100000000000001" customHeight="1" x14ac:dyDescent="0.25">
      <c r="C24" s="4" t="s">
        <v>503</v>
      </c>
      <c r="D24" s="697">
        <f>'CALCUL ANUAL SASSEP'!S106</f>
        <v>27381.103822799996</v>
      </c>
      <c r="E24" s="320"/>
      <c r="F24" s="320">
        <v>48335.735000000001</v>
      </c>
      <c r="G24" s="320"/>
      <c r="H24" s="924">
        <f t="shared" si="2"/>
        <v>-0.76529534064113491</v>
      </c>
      <c r="I24" s="1686"/>
      <c r="K24" t="s">
        <v>277</v>
      </c>
      <c r="M24">
        <v>3400</v>
      </c>
      <c r="N24">
        <v>2</v>
      </c>
      <c r="O24">
        <v>18239.900000000001</v>
      </c>
      <c r="P24">
        <v>24167.8675</v>
      </c>
      <c r="Q24">
        <v>48335.735000000001</v>
      </c>
    </row>
    <row r="25" spans="3:17" ht="20.100000000000001" customHeight="1" x14ac:dyDescent="0.25">
      <c r="C25" s="7" t="s">
        <v>472</v>
      </c>
      <c r="D25" s="20">
        <v>1968.5295269286544</v>
      </c>
      <c r="E25" s="320"/>
      <c r="F25" s="320" t="s">
        <v>523</v>
      </c>
      <c r="G25" s="320"/>
      <c r="H25" s="924"/>
      <c r="I25" s="890" t="s">
        <v>504</v>
      </c>
    </row>
    <row r="26" spans="3:17" ht="20.100000000000001" customHeight="1" x14ac:dyDescent="0.25">
      <c r="C26" s="726" t="s">
        <v>314</v>
      </c>
      <c r="D26" s="584">
        <f>D27</f>
        <v>51835.991999999998</v>
      </c>
      <c r="E26" s="318"/>
      <c r="F26" s="801">
        <f>F27</f>
        <v>36414.25</v>
      </c>
      <c r="G26" s="318"/>
      <c r="H26" s="319"/>
      <c r="I26" s="894"/>
    </row>
    <row r="27" spans="3:17" ht="20.100000000000001" customHeight="1" x14ac:dyDescent="0.25">
      <c r="C27" s="7" t="s">
        <v>506</v>
      </c>
      <c r="D27" s="697">
        <f>'TAULA MARE DEF'!$U$68</f>
        <v>51835.991999999998</v>
      </c>
      <c r="E27" s="320"/>
      <c r="F27" s="320">
        <v>36414.25</v>
      </c>
      <c r="G27" s="301"/>
      <c r="H27" s="307"/>
      <c r="I27" s="760"/>
    </row>
    <row r="28" spans="3:17" x14ac:dyDescent="0.25">
      <c r="C28" s="713" t="s">
        <v>429</v>
      </c>
      <c r="D28" s="897" t="e">
        <f>D8+D10+D16+D26</f>
        <v>#REF!</v>
      </c>
      <c r="E28" s="906"/>
      <c r="F28" s="906">
        <f>F8+F10+F16</f>
        <v>2070918.3555356241</v>
      </c>
      <c r="G28" s="906"/>
      <c r="H28" s="849"/>
      <c r="I28" s="706"/>
    </row>
    <row r="29" spans="3:17" ht="18" customHeight="1" x14ac:dyDescent="0.25">
      <c r="C29" s="727" t="s">
        <v>428</v>
      </c>
      <c r="D29" s="728">
        <f>SUM(D30:D32)</f>
        <v>634334.9728706812</v>
      </c>
      <c r="E29" s="729"/>
      <c r="F29" s="729">
        <f>SUM(F30:F31)</f>
        <v>136491.66826596312</v>
      </c>
      <c r="G29" s="729" t="e">
        <f>SUM(G30:G32)</f>
        <v>#REF!</v>
      </c>
      <c r="H29" s="730"/>
      <c r="I29" s="706"/>
    </row>
    <row r="30" spans="3:17" ht="30" customHeight="1" x14ac:dyDescent="0.25">
      <c r="C30" s="7" t="s">
        <v>284</v>
      </c>
      <c r="D30" s="711">
        <f>'CALCUL ANUAL SASSEP'!$S$119</f>
        <v>468424.87046503782</v>
      </c>
      <c r="E30" s="703"/>
      <c r="F30" s="703">
        <v>105745.7796703807</v>
      </c>
      <c r="G30" s="704">
        <f>D20-F20</f>
        <v>-17705.14</v>
      </c>
      <c r="H30" s="931">
        <f>(D20/F20)-1</f>
        <v>-0.36629500241436252</v>
      </c>
      <c r="I30" s="1687" t="s">
        <v>507</v>
      </c>
    </row>
    <row r="31" spans="3:17" ht="30" customHeight="1" x14ac:dyDescent="0.25">
      <c r="C31" s="323" t="s">
        <v>286</v>
      </c>
      <c r="D31" s="320">
        <v>45285.67224297276</v>
      </c>
      <c r="E31" s="320"/>
      <c r="F31" s="895">
        <v>30745.888595582433</v>
      </c>
      <c r="G31" s="320">
        <f>D21-F21</f>
        <v>45712.586000000003</v>
      </c>
      <c r="H31" s="927">
        <f>(D21/F21)-1</f>
        <v>0.74922482317589889</v>
      </c>
      <c r="I31" s="1688"/>
    </row>
    <row r="32" spans="3:17" ht="30" customHeight="1" x14ac:dyDescent="0.25">
      <c r="C32" s="365" t="s">
        <v>285</v>
      </c>
      <c r="D32" s="320">
        <f>'CALCUL ANUAL SASSEP'!$S$121</f>
        <v>120624.43016267067</v>
      </c>
      <c r="E32" s="320"/>
      <c r="F32" s="320">
        <v>150141.86824139344</v>
      </c>
      <c r="G32" s="320" t="e">
        <f>D22-F22</f>
        <v>#REF!</v>
      </c>
      <c r="H32" s="927" t="e">
        <f>(D22/F22)-1</f>
        <v>#REF!</v>
      </c>
      <c r="I32" s="1689"/>
    </row>
    <row r="33" spans="1:9" ht="18" customHeight="1" x14ac:dyDescent="0.25">
      <c r="C33" s="713" t="s">
        <v>524</v>
      </c>
      <c r="D33" s="897" t="e">
        <f>D28+D29</f>
        <v>#REF!</v>
      </c>
      <c r="E33" s="906"/>
      <c r="F33" s="906">
        <f>F28+F29</f>
        <v>2207410.0238015871</v>
      </c>
      <c r="G33" s="897" t="e">
        <f>D33-F33</f>
        <v>#REF!</v>
      </c>
      <c r="H33" s="319"/>
      <c r="I33" s="899"/>
    </row>
    <row r="34" spans="1:9" ht="18" customHeight="1" x14ac:dyDescent="0.25">
      <c r="C34" s="713" t="s">
        <v>436</v>
      </c>
      <c r="D34" s="897">
        <f>D35+D36+D37</f>
        <v>107850</v>
      </c>
      <c r="E34" s="906"/>
      <c r="F34" s="906">
        <f>F35+F36+F37</f>
        <v>89600</v>
      </c>
      <c r="G34" s="897"/>
      <c r="H34" s="319"/>
      <c r="I34" s="899"/>
    </row>
    <row r="35" spans="1:9" ht="18" customHeight="1" x14ac:dyDescent="0.25">
      <c r="C35" s="4" t="s">
        <v>509</v>
      </c>
      <c r="D35" s="697">
        <f>'CALCUL ANUAL SASSEP'!S127</f>
        <v>57600</v>
      </c>
      <c r="E35" s="320"/>
      <c r="F35" s="320">
        <v>50000</v>
      </c>
      <c r="G35" s="697">
        <f>D35-F35</f>
        <v>7600</v>
      </c>
      <c r="H35" s="321">
        <f>(D35-F35)/D35</f>
        <v>0.13194444444444445</v>
      </c>
      <c r="I35" s="760" t="s">
        <v>512</v>
      </c>
    </row>
    <row r="36" spans="1:9" ht="18" customHeight="1" x14ac:dyDescent="0.25">
      <c r="C36" s="4" t="s">
        <v>510</v>
      </c>
      <c r="D36" s="697">
        <f>'CALCUL ANUAL SASSEP'!S129</f>
        <v>29250</v>
      </c>
      <c r="E36" s="320"/>
      <c r="F36" s="320">
        <v>26400</v>
      </c>
      <c r="G36" s="697">
        <f t="shared" ref="G36:G37" si="3">D36-F36</f>
        <v>2850</v>
      </c>
      <c r="H36" s="321">
        <f t="shared" ref="H36:H37" si="4">(D36-F36)/D36</f>
        <v>9.7435897435897437E-2</v>
      </c>
      <c r="I36" s="896" t="s">
        <v>513</v>
      </c>
    </row>
    <row r="37" spans="1:9" ht="18" customHeight="1" x14ac:dyDescent="0.25">
      <c r="C37" s="4" t="s">
        <v>511</v>
      </c>
      <c r="D37" s="697">
        <f>'CALCUL ANUAL SASSEP'!S130</f>
        <v>21000</v>
      </c>
      <c r="E37" s="320"/>
      <c r="F37" s="320">
        <v>13200</v>
      </c>
      <c r="G37" s="697">
        <f t="shared" si="3"/>
        <v>7800</v>
      </c>
      <c r="H37" s="927">
        <f t="shared" si="4"/>
        <v>0.37142857142857144</v>
      </c>
      <c r="I37" s="760" t="s">
        <v>514</v>
      </c>
    </row>
    <row r="38" spans="1:9" ht="18" customHeight="1" thickBot="1" x14ac:dyDescent="0.3">
      <c r="C38" s="763" t="s">
        <v>525</v>
      </c>
      <c r="D38" s="764" t="e">
        <f>D33+D34</f>
        <v>#REF!</v>
      </c>
      <c r="E38" s="765"/>
      <c r="F38" s="765">
        <f>F33+F34+F26</f>
        <v>2333424.2738015871</v>
      </c>
      <c r="G38" s="764" t="e">
        <f>D38-F38</f>
        <v>#REF!</v>
      </c>
      <c r="H38" s="321"/>
      <c r="I38" s="325"/>
    </row>
    <row r="39" spans="1:9" ht="18" customHeight="1" thickBot="1" x14ac:dyDescent="0.3">
      <c r="A39" s="298">
        <v>2</v>
      </c>
      <c r="B39" s="759" t="s">
        <v>258</v>
      </c>
      <c r="C39" s="915" t="s">
        <v>263</v>
      </c>
      <c r="D39" s="934">
        <f>SUM(D40:D54)</f>
        <v>136887.85</v>
      </c>
      <c r="E39" s="915"/>
      <c r="F39" s="935">
        <f>SUM(F40:F54)</f>
        <v>326907.13</v>
      </c>
      <c r="G39" s="915"/>
      <c r="H39" s="915"/>
      <c r="I39" s="936"/>
    </row>
    <row r="40" spans="1:9" ht="18" customHeight="1" x14ac:dyDescent="0.25">
      <c r="C40" s="760" t="s">
        <v>401</v>
      </c>
      <c r="D40" s="933">
        <v>93007.849999999991</v>
      </c>
      <c r="E40" s="714"/>
      <c r="F40" s="920">
        <v>86837.13</v>
      </c>
      <c r="G40" s="761"/>
      <c r="H40" s="932">
        <f>(D40-F40)/D40</f>
        <v>6.6346227764645535E-2</v>
      </c>
      <c r="I40" s="903" t="s">
        <v>518</v>
      </c>
    </row>
    <row r="41" spans="1:9" x14ac:dyDescent="0.25">
      <c r="C41" s="360" t="s">
        <v>402</v>
      </c>
      <c r="D41" s="923">
        <v>1200</v>
      </c>
      <c r="E41" s="320"/>
      <c r="F41" s="106">
        <v>1200</v>
      </c>
      <c r="G41" s="301"/>
      <c r="H41" s="932">
        <f t="shared" ref="H41:H43" si="5">(D41-F41)/D41</f>
        <v>0</v>
      </c>
      <c r="I41" s="760" t="s">
        <v>515</v>
      </c>
    </row>
    <row r="42" spans="1:9" x14ac:dyDescent="0.25">
      <c r="C42" s="360" t="s">
        <v>526</v>
      </c>
      <c r="D42" s="320">
        <v>1200</v>
      </c>
      <c r="E42" s="320"/>
      <c r="F42" s="937">
        <v>100000</v>
      </c>
      <c r="G42" s="301"/>
      <c r="H42" s="939">
        <f t="shared" si="5"/>
        <v>-82.333333333333329</v>
      </c>
      <c r="I42" s="299"/>
    </row>
    <row r="43" spans="1:9" x14ac:dyDescent="0.25">
      <c r="A43" s="298"/>
      <c r="B43" s="257"/>
      <c r="C43" s="7" t="s">
        <v>343</v>
      </c>
      <c r="D43" s="320">
        <v>720</v>
      </c>
      <c r="E43" s="697"/>
      <c r="F43" s="938">
        <v>120000</v>
      </c>
      <c r="G43" s="301"/>
      <c r="H43" s="939">
        <f t="shared" si="5"/>
        <v>-165.66666666666666</v>
      </c>
      <c r="I43" s="299"/>
    </row>
    <row r="44" spans="1:9" x14ac:dyDescent="0.25">
      <c r="A44" s="298"/>
      <c r="B44" s="257"/>
      <c r="C44" s="7" t="s">
        <v>134</v>
      </c>
      <c r="D44" s="697">
        <v>6264</v>
      </c>
      <c r="E44" s="697"/>
      <c r="F44" s="901"/>
      <c r="G44" s="301"/>
      <c r="H44" s="925"/>
      <c r="I44" s="1690" t="s">
        <v>516</v>
      </c>
    </row>
    <row r="45" spans="1:9" x14ac:dyDescent="0.25">
      <c r="C45" s="7" t="s">
        <v>135</v>
      </c>
      <c r="D45" s="697">
        <v>5940</v>
      </c>
      <c r="E45" s="320"/>
      <c r="F45" s="901"/>
      <c r="G45" s="301"/>
      <c r="H45" s="925"/>
      <c r="I45" s="1691"/>
    </row>
    <row r="46" spans="1:9" x14ac:dyDescent="0.25">
      <c r="C46" s="7" t="s">
        <v>316</v>
      </c>
      <c r="D46" s="320">
        <v>1196</v>
      </c>
      <c r="E46" s="320"/>
      <c r="F46" s="901"/>
      <c r="G46" s="301"/>
      <c r="H46" s="925"/>
      <c r="I46" s="1690" t="s">
        <v>517</v>
      </c>
    </row>
    <row r="47" spans="1:9" ht="14.45" customHeight="1" x14ac:dyDescent="0.25">
      <c r="C47" s="7" t="s">
        <v>204</v>
      </c>
      <c r="D47" s="697">
        <v>1161.5999999999999</v>
      </c>
      <c r="E47" s="720"/>
      <c r="F47" s="901"/>
      <c r="G47" s="301"/>
      <c r="H47" s="925"/>
      <c r="I47" s="1690"/>
    </row>
    <row r="48" spans="1:9" x14ac:dyDescent="0.25">
      <c r="C48" s="7" t="s">
        <v>317</v>
      </c>
      <c r="D48" s="701">
        <v>360</v>
      </c>
      <c r="E48" s="320"/>
      <c r="F48" s="901"/>
      <c r="G48" s="301"/>
      <c r="H48" s="925"/>
      <c r="I48" s="1690"/>
    </row>
    <row r="49" spans="1:9" x14ac:dyDescent="0.25">
      <c r="C49" s="7" t="s">
        <v>234</v>
      </c>
      <c r="D49" s="697">
        <v>1603.2</v>
      </c>
      <c r="E49" s="320"/>
      <c r="F49" s="901"/>
      <c r="G49" s="301"/>
      <c r="H49" s="925"/>
      <c r="I49" s="1690"/>
    </row>
    <row r="50" spans="1:9" x14ac:dyDescent="0.25">
      <c r="C50" s="7" t="s">
        <v>157</v>
      </c>
      <c r="D50" s="697">
        <v>4020</v>
      </c>
      <c r="E50" s="320"/>
      <c r="F50" s="901"/>
      <c r="G50" s="301"/>
      <c r="H50" s="925"/>
      <c r="I50" s="1690"/>
    </row>
    <row r="51" spans="1:9" x14ac:dyDescent="0.25">
      <c r="C51" s="7" t="s">
        <v>158</v>
      </c>
      <c r="D51" s="697">
        <v>378</v>
      </c>
      <c r="E51" s="320"/>
      <c r="F51" s="901"/>
      <c r="G51" s="301"/>
      <c r="H51" s="925"/>
      <c r="I51" s="1690"/>
    </row>
    <row r="52" spans="1:9" x14ac:dyDescent="0.25">
      <c r="C52" s="7" t="s">
        <v>55</v>
      </c>
      <c r="D52" s="697">
        <v>3240</v>
      </c>
      <c r="E52" s="320"/>
      <c r="F52" s="301">
        <v>3150</v>
      </c>
      <c r="H52" s="925"/>
      <c r="I52" s="1690"/>
    </row>
    <row r="53" spans="1:9" x14ac:dyDescent="0.25">
      <c r="C53" s="7" t="s">
        <v>137</v>
      </c>
      <c r="D53" s="320">
        <v>16297.199999999999</v>
      </c>
      <c r="E53" s="320"/>
      <c r="F53" s="301">
        <v>15120</v>
      </c>
      <c r="H53" s="925"/>
      <c r="I53" s="299"/>
    </row>
    <row r="54" spans="1:9" x14ac:dyDescent="0.25">
      <c r="C54" s="7" t="s">
        <v>56</v>
      </c>
      <c r="D54" s="320">
        <v>300</v>
      </c>
      <c r="E54" s="911"/>
      <c r="F54" s="912">
        <v>600</v>
      </c>
      <c r="H54" s="925"/>
      <c r="I54" s="913"/>
    </row>
    <row r="55" spans="1:9" x14ac:dyDescent="0.25">
      <c r="C55" s="915" t="s">
        <v>519</v>
      </c>
      <c r="D55" s="917" t="e">
        <f>SUM(D56:D64)</f>
        <v>#REF!</v>
      </c>
      <c r="E55" s="915"/>
      <c r="F55" s="916">
        <f>SUM(F56:F64)</f>
        <v>93290.91</v>
      </c>
      <c r="G55" s="915"/>
      <c r="H55" s="915"/>
      <c r="I55" s="915"/>
    </row>
    <row r="56" spans="1:9" ht="15.75" thickBot="1" x14ac:dyDescent="0.3">
      <c r="C56" s="710" t="s">
        <v>245</v>
      </c>
      <c r="D56" s="703" t="e">
        <f>'CALCUL ANUAL SASSEP'!#REF!</f>
        <v>#REF!</v>
      </c>
      <c r="E56" s="326"/>
      <c r="F56" s="729"/>
      <c r="G56" s="704"/>
      <c r="H56" s="914"/>
      <c r="I56" s="1672"/>
    </row>
    <row r="57" spans="1:9" ht="15.75" thickBot="1" x14ac:dyDescent="0.3">
      <c r="C57" s="710" t="s">
        <v>494</v>
      </c>
      <c r="D57" s="320" t="e">
        <f>'CALCUL ANUAL SASSEP'!#REF!</f>
        <v>#REF!</v>
      </c>
      <c r="E57" s="324"/>
      <c r="F57" s="901"/>
      <c r="G57" s="301"/>
      <c r="H57" s="314"/>
      <c r="I57" s="1672"/>
    </row>
    <row r="58" spans="1:9" ht="15.75" thickBot="1" x14ac:dyDescent="0.3">
      <c r="C58" s="710" t="s">
        <v>151</v>
      </c>
      <c r="D58" s="320">
        <f>'CALCUL ANUAL SASSEP'!S159</f>
        <v>732</v>
      </c>
      <c r="E58" s="324"/>
      <c r="F58" s="901"/>
      <c r="G58" s="301"/>
      <c r="H58" s="314"/>
      <c r="I58" s="1673"/>
    </row>
    <row r="59" spans="1:9" ht="15.75" thickBot="1" x14ac:dyDescent="0.3">
      <c r="C59" s="710" t="s">
        <v>228</v>
      </c>
      <c r="D59" s="320" t="e">
        <f>'CALCUL ANUAL SASSEP'!#REF!</f>
        <v>#REF!</v>
      </c>
      <c r="E59" s="324"/>
      <c r="F59" s="901"/>
      <c r="G59" s="301"/>
      <c r="H59" s="300"/>
      <c r="I59" s="760" t="s">
        <v>521</v>
      </c>
    </row>
    <row r="60" spans="1:9" ht="15.75" thickBot="1" x14ac:dyDescent="0.3">
      <c r="C60" s="710" t="s">
        <v>403</v>
      </c>
      <c r="D60" s="320">
        <f>'CALCUL ANUAL SASSEP'!S160</f>
        <v>1100</v>
      </c>
      <c r="E60" s="324"/>
      <c r="F60" s="320">
        <v>4200</v>
      </c>
      <c r="G60" s="301"/>
      <c r="H60" s="300"/>
      <c r="I60" s="1674" t="s">
        <v>520</v>
      </c>
    </row>
    <row r="61" spans="1:9" ht="15.75" thickBot="1" x14ac:dyDescent="0.3">
      <c r="C61" s="710" t="s">
        <v>478</v>
      </c>
      <c r="D61" s="320" t="e">
        <f>'CALCUL ANUAL SASSEP'!#REF!</f>
        <v>#REF!</v>
      </c>
      <c r="E61" s="324"/>
      <c r="F61" s="900"/>
      <c r="G61" s="301"/>
      <c r="H61" s="300"/>
      <c r="I61" s="1675"/>
    </row>
    <row r="62" spans="1:9" s="257" customFormat="1" x14ac:dyDescent="0.25">
      <c r="A62" s="298"/>
      <c r="C62" s="718" t="s">
        <v>227</v>
      </c>
      <c r="D62" s="320" t="e">
        <f>'CALCUL ANUAL SASSEP'!#REF!</f>
        <v>#REF!</v>
      </c>
      <c r="E62" s="324"/>
      <c r="F62" s="900"/>
      <c r="G62" s="301"/>
      <c r="H62" s="300"/>
      <c r="I62" s="1675"/>
    </row>
    <row r="63" spans="1:9" s="257" customFormat="1" ht="15.75" thickBot="1" x14ac:dyDescent="0.3">
      <c r="A63" s="298"/>
      <c r="C63" s="7" t="s">
        <v>480</v>
      </c>
      <c r="D63" s="320" t="e">
        <f>'CALCUL ANUAL SASSEP'!#REF!</f>
        <v>#REF!</v>
      </c>
      <c r="E63" s="324"/>
      <c r="F63" s="907"/>
      <c r="G63" s="313"/>
      <c r="H63" s="315"/>
      <c r="I63" s="1676"/>
    </row>
    <row r="64" spans="1:9" s="295" customFormat="1" ht="16.5" thickBot="1" x14ac:dyDescent="0.3">
      <c r="A64" s="291"/>
      <c r="C64" s="322" t="s">
        <v>405</v>
      </c>
      <c r="D64" s="898">
        <v>90000</v>
      </c>
      <c r="E64" s="694"/>
      <c r="F64" s="904">
        <v>89090.91</v>
      </c>
      <c r="H64" s="905">
        <f>(D64-F64)/D64</f>
        <v>1.0100999999999961E-2</v>
      </c>
      <c r="I64" s="908"/>
    </row>
    <row r="65" spans="1:9" s="293" customFormat="1" ht="15.75" x14ac:dyDescent="0.25">
      <c r="A65" s="294"/>
      <c r="C65" s="763" t="s">
        <v>432</v>
      </c>
      <c r="D65" s="902" t="e">
        <f>D55+D39</f>
        <v>#REF!</v>
      </c>
      <c r="E65" s="763"/>
      <c r="F65" s="777">
        <f>F55+F39</f>
        <v>420198.04000000004</v>
      </c>
      <c r="G65" s="763"/>
      <c r="H65" s="763"/>
      <c r="I65" s="763"/>
    </row>
    <row r="66" spans="1:9" s="293" customFormat="1" ht="15.75" x14ac:dyDescent="0.25">
      <c r="A66" s="294"/>
      <c r="C66" s="111" t="s">
        <v>435</v>
      </c>
      <c r="D66" s="776" t="e">
        <f>D65+D38</f>
        <v>#REF!</v>
      </c>
      <c r="E66" s="775"/>
      <c r="F66" s="918">
        <f>F65+F38</f>
        <v>2753622.3138015871</v>
      </c>
      <c r="G66" s="775"/>
      <c r="H66" s="775"/>
      <c r="I66" s="112"/>
    </row>
    <row r="67" spans="1:9" s="293" customFormat="1" ht="15.75" x14ac:dyDescent="0.25">
      <c r="A67" s="291"/>
      <c r="B67" s="295"/>
      <c r="C67" s="769" t="s">
        <v>431</v>
      </c>
      <c r="D67" s="770">
        <f>SUM(D68:D69)</f>
        <v>417555.09684363316</v>
      </c>
      <c r="E67" s="771"/>
      <c r="F67" s="771">
        <f>SUM(F68:F69)</f>
        <v>275392.23136803682</v>
      </c>
      <c r="G67" s="770"/>
      <c r="H67" s="772"/>
      <c r="I67" s="769"/>
    </row>
    <row r="68" spans="1:9" s="293" customFormat="1" ht="30.6" customHeight="1" x14ac:dyDescent="0.25">
      <c r="A68" s="291"/>
      <c r="B68" s="295"/>
      <c r="C68" s="773" t="s">
        <v>434</v>
      </c>
      <c r="D68" s="697">
        <f>'CALCUL ANUAL SASSEP'!S166</f>
        <v>204683.87149197704</v>
      </c>
      <c r="E68" s="320"/>
      <c r="F68" s="320">
        <v>137696.11568401841</v>
      </c>
      <c r="G68" s="697"/>
      <c r="H68" s="321">
        <f>(D68-F68)/D68</f>
        <v>0.32727422693186814</v>
      </c>
      <c r="I68" s="1677" t="s">
        <v>508</v>
      </c>
    </row>
    <row r="69" spans="1:9" s="293" customFormat="1" ht="21" customHeight="1" x14ac:dyDescent="0.25">
      <c r="A69" s="294"/>
      <c r="B69" s="293" t="s">
        <v>256</v>
      </c>
      <c r="C69" s="4" t="s">
        <v>433</v>
      </c>
      <c r="D69" s="697">
        <f>'CALCUL ANUAL SASSEP'!S167</f>
        <v>212871.22535165612</v>
      </c>
      <c r="E69" s="320"/>
      <c r="F69" s="320">
        <v>137696.11568401841</v>
      </c>
      <c r="G69" s="697"/>
      <c r="H69" s="321">
        <f>(D69-F69)/D69</f>
        <v>0.35314829208809667</v>
      </c>
      <c r="I69" s="1678"/>
    </row>
    <row r="70" spans="1:9" s="293" customFormat="1" ht="15.6" customHeight="1" x14ac:dyDescent="0.25">
      <c r="A70" s="294"/>
      <c r="C70" s="788" t="s">
        <v>21</v>
      </c>
      <c r="D70" s="789">
        <f>SUM(D68:D69)</f>
        <v>417555.09684363316</v>
      </c>
      <c r="E70" s="790"/>
      <c r="F70" s="909">
        <f>SUM(F68:F69)</f>
        <v>275392.23136803682</v>
      </c>
      <c r="G70" s="790"/>
      <c r="H70" s="790"/>
      <c r="I70" s="112"/>
    </row>
    <row r="71" spans="1:9" s="293" customFormat="1" ht="16.5" thickBot="1" x14ac:dyDescent="0.3">
      <c r="A71" s="294"/>
      <c r="C71" s="791" t="s">
        <v>437</v>
      </c>
      <c r="D71" s="791" t="e">
        <f>D66+D70</f>
        <v>#REF!</v>
      </c>
      <c r="E71" s="792"/>
      <c r="F71" s="919">
        <f>F66+F70</f>
        <v>3029014.545169624</v>
      </c>
      <c r="G71" s="296"/>
      <c r="H71" s="257"/>
      <c r="I71"/>
    </row>
    <row r="72" spans="1:9" s="293" customFormat="1" ht="33" customHeight="1" thickBot="1" x14ac:dyDescent="0.35">
      <c r="A72" s="294"/>
      <c r="C72" s="784" t="s">
        <v>248</v>
      </c>
      <c r="D72" s="795" t="e">
        <f>D71</f>
        <v>#REF!</v>
      </c>
      <c r="E72" s="7"/>
      <c r="F72" s="81">
        <f>F71</f>
        <v>3029014.545169624</v>
      </c>
      <c r="G72" s="7"/>
      <c r="H72" s="707"/>
      <c r="I72" s="257"/>
    </row>
    <row r="73" spans="1:9" ht="19.5" thickBot="1" x14ac:dyDescent="0.35">
      <c r="B73" s="784" t="s">
        <v>249</v>
      </c>
      <c r="C73" s="793">
        <v>0.1</v>
      </c>
      <c r="D73" s="794" t="e">
        <f>D72*10%</f>
        <v>#REF!</v>
      </c>
      <c r="E73" s="785"/>
      <c r="F73" s="785">
        <f>F72*0.1</f>
        <v>302901.4545169624</v>
      </c>
      <c r="G73" s="786"/>
      <c r="H73" s="787"/>
      <c r="I73" s="257"/>
    </row>
    <row r="74" spans="1:9" ht="23.45" customHeight="1" thickBot="1" x14ac:dyDescent="0.35">
      <c r="B74" s="784"/>
      <c r="C74" s="288" t="s">
        <v>246</v>
      </c>
      <c r="D74" s="783" t="e">
        <f>D72+D73</f>
        <v>#REF!</v>
      </c>
      <c r="E74" s="287"/>
      <c r="F74" s="940">
        <f>SUM(F72:F73)</f>
        <v>3331915.9996865867</v>
      </c>
      <c r="G74" s="286" t="e">
        <f>D74-F74</f>
        <v>#REF!</v>
      </c>
      <c r="H74" s="285" t="e">
        <f>(D74/F74)-1</f>
        <v>#REF!</v>
      </c>
      <c r="I74" s="257"/>
    </row>
    <row r="75" spans="1:9" x14ac:dyDescent="0.25">
      <c r="I75" s="257"/>
    </row>
    <row r="76" spans="1:9" x14ac:dyDescent="0.25">
      <c r="I76" s="257"/>
    </row>
  </sheetData>
  <mergeCells count="9">
    <mergeCell ref="I30:I32"/>
    <mergeCell ref="I68:I69"/>
    <mergeCell ref="C3:I4"/>
    <mergeCell ref="I11:I14"/>
    <mergeCell ref="I17:I24"/>
    <mergeCell ref="I44:I45"/>
    <mergeCell ref="I46:I52"/>
    <mergeCell ref="I60:I63"/>
    <mergeCell ref="I56:I58"/>
  </mergeCells>
  <pageMargins left="0.70866141732283472" right="0.70866141732283472" top="0.74803149606299213" bottom="0.74803149606299213" header="0.31496062992125984" footer="0.31496062992125984"/>
  <pageSetup paperSize="8" scale="79" orientation="portrait" r:id="rId1"/>
  <customProperties>
    <customPr name="EpmWorksheetKeyString_GUID" r:id="rId2"/>
  </customProperties>
  <ignoredErrors>
    <ignoredError sqref="F29"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78"/>
  <sheetViews>
    <sheetView zoomScale="115" zoomScaleNormal="115" workbookViewId="0">
      <selection activeCell="A10" sqref="A10:XFD10"/>
    </sheetView>
  </sheetViews>
  <sheetFormatPr defaultRowHeight="15" x14ac:dyDescent="0.25"/>
  <cols>
    <col min="1" max="1" width="5.5703125" style="284" customWidth="1"/>
    <col min="2" max="2" width="6.7109375" bestFit="1" customWidth="1"/>
    <col min="3" max="3" width="62.140625" bestFit="1" customWidth="1"/>
    <col min="4" max="4" width="17.85546875" bestFit="1" customWidth="1"/>
    <col min="5" max="5" width="17.85546875" customWidth="1"/>
    <col min="6" max="6" width="20.42578125" bestFit="1" customWidth="1"/>
    <col min="7" max="7" width="16.42578125" bestFit="1" customWidth="1"/>
    <col min="8" max="8" width="16.85546875" style="284" bestFit="1" customWidth="1"/>
    <col min="9" max="9" width="53.7109375" customWidth="1"/>
  </cols>
  <sheetData>
    <row r="1" spans="1:17" x14ac:dyDescent="0.25">
      <c r="C1">
        <v>57095.5</v>
      </c>
    </row>
    <row r="2" spans="1:17" ht="15.75" thickBot="1" x14ac:dyDescent="0.3"/>
    <row r="3" spans="1:17" s="309" customFormat="1" ht="21" x14ac:dyDescent="0.35">
      <c r="A3" s="310"/>
      <c r="C3" s="1708" t="s">
        <v>280</v>
      </c>
      <c r="D3" s="1709"/>
      <c r="E3" s="1709"/>
      <c r="F3" s="1709"/>
      <c r="G3" s="1709"/>
      <c r="H3" s="1709"/>
      <c r="I3" s="1710"/>
    </row>
    <row r="4" spans="1:17" s="309" customFormat="1" ht="21.75" thickBot="1" x14ac:dyDescent="0.4">
      <c r="A4" s="310"/>
      <c r="C4" s="1711"/>
      <c r="D4" s="1712"/>
      <c r="E4" s="1712"/>
      <c r="F4" s="1712"/>
      <c r="G4" s="1712"/>
      <c r="H4" s="1712"/>
      <c r="I4" s="1713"/>
    </row>
    <row r="5" spans="1:17" ht="15.75" thickBot="1" x14ac:dyDescent="0.3"/>
    <row r="6" spans="1:17" ht="15.75" thickBot="1" x14ac:dyDescent="0.3">
      <c r="A6" s="298">
        <v>1</v>
      </c>
      <c r="B6" s="306" t="s">
        <v>258</v>
      </c>
      <c r="C6" s="308" t="s">
        <v>264</v>
      </c>
      <c r="D6" s="367" t="s">
        <v>254</v>
      </c>
      <c r="E6" s="367"/>
      <c r="F6" s="367" t="s">
        <v>253</v>
      </c>
      <c r="G6" s="367" t="s">
        <v>252</v>
      </c>
      <c r="H6" s="367" t="s">
        <v>251</v>
      </c>
      <c r="I6" s="367" t="s">
        <v>262</v>
      </c>
    </row>
    <row r="7" spans="1:17" ht="15.75" thickBot="1" x14ac:dyDescent="0.3">
      <c r="A7" s="298"/>
      <c r="B7" s="257"/>
      <c r="C7" s="797" t="s">
        <v>438</v>
      </c>
      <c r="D7" s="798"/>
      <c r="E7" s="798"/>
      <c r="F7" s="798"/>
      <c r="G7" s="798"/>
      <c r="H7" s="798"/>
      <c r="I7" s="367"/>
    </row>
    <row r="8" spans="1:17" ht="20.100000000000001" customHeight="1" x14ac:dyDescent="0.25">
      <c r="C8" s="583" t="s">
        <v>66</v>
      </c>
      <c r="D8" s="584">
        <f>'TAULA MARE DEF'!$U$20</f>
        <v>65174.279040000001</v>
      </c>
      <c r="E8" s="584"/>
      <c r="F8" s="318">
        <v>39105.254999999997</v>
      </c>
      <c r="G8" s="318">
        <f t="shared" ref="G8:G15" si="0">D8-F8</f>
        <v>26069.024040000004</v>
      </c>
      <c r="H8" s="700">
        <f>(D8/F8)-1</f>
        <v>0.66663736216526415</v>
      </c>
      <c r="I8" s="1714" t="s">
        <v>427</v>
      </c>
      <c r="K8" t="s">
        <v>265</v>
      </c>
      <c r="M8">
        <v>1700</v>
      </c>
      <c r="N8">
        <v>1</v>
      </c>
      <c r="O8">
        <v>29513.4</v>
      </c>
      <c r="P8">
        <v>39105.254999999997</v>
      </c>
      <c r="Q8">
        <v>39105.254999999997</v>
      </c>
    </row>
    <row r="9" spans="1:17" ht="20.100000000000001" customHeight="1" x14ac:dyDescent="0.25">
      <c r="C9" s="224" t="s">
        <v>426</v>
      </c>
      <c r="D9" s="697">
        <f>'TAULA MARE DEF'!$U$21</f>
        <v>65174.279040000001</v>
      </c>
      <c r="E9" s="697"/>
      <c r="F9" s="320"/>
      <c r="G9" s="320"/>
      <c r="H9" s="698"/>
      <c r="I9" s="1715"/>
    </row>
    <row r="10" spans="1:17" ht="20.100000000000001" customHeight="1" x14ac:dyDescent="0.25">
      <c r="C10" s="224" t="s">
        <v>295</v>
      </c>
      <c r="D10" s="701" t="e">
        <f>'TAULA MARE DEF'!#REF!</f>
        <v>#REF!</v>
      </c>
      <c r="E10" s="701"/>
      <c r="F10" s="301"/>
      <c r="G10" s="301" t="e">
        <f t="shared" si="0"/>
        <v>#REF!</v>
      </c>
      <c r="H10" s="699"/>
      <c r="I10" s="1715"/>
      <c r="K10" t="s">
        <v>266</v>
      </c>
    </row>
    <row r="11" spans="1:17" ht="20.100000000000001" customHeight="1" x14ac:dyDescent="0.25">
      <c r="C11" s="394" t="s">
        <v>297</v>
      </c>
      <c r="D11" s="724">
        <f>SUM(D12:D15)</f>
        <v>2250861.9783113129</v>
      </c>
      <c r="E11" s="584"/>
      <c r="F11" s="318">
        <f>SUM(F12:F15)</f>
        <v>0</v>
      </c>
      <c r="G11" s="318"/>
      <c r="H11" s="319"/>
      <c r="I11" s="799"/>
      <c r="K11" t="s">
        <v>267</v>
      </c>
      <c r="M11">
        <v>27200</v>
      </c>
      <c r="N11">
        <v>16</v>
      </c>
      <c r="O11">
        <v>20639.22</v>
      </c>
      <c r="P11">
        <v>27346.966500000002</v>
      </c>
      <c r="Q11">
        <v>437551.46400000004</v>
      </c>
    </row>
    <row r="12" spans="1:17" ht="20.100000000000001" customHeight="1" x14ac:dyDescent="0.25">
      <c r="C12" s="712" t="s">
        <v>67</v>
      </c>
      <c r="D12" s="722">
        <f>'TAULA MARE DEF'!$U$26</f>
        <v>194887.86876000001</v>
      </c>
      <c r="E12" s="701"/>
      <c r="F12" s="320"/>
      <c r="G12" s="320">
        <f t="shared" si="0"/>
        <v>194887.86876000001</v>
      </c>
      <c r="H12" s="321" t="e">
        <f t="shared" ref="H12:H15" si="1">(D12/F12)-1</f>
        <v>#DIV/0!</v>
      </c>
      <c r="I12" s="1682" t="s">
        <v>439</v>
      </c>
      <c r="K12" t="s">
        <v>268</v>
      </c>
      <c r="M12">
        <v>29895.495495495499</v>
      </c>
      <c r="N12">
        <v>17.585585585585587</v>
      </c>
      <c r="O12">
        <v>20639.22</v>
      </c>
      <c r="P12">
        <v>27346.966500000002</v>
      </c>
      <c r="Q12">
        <v>480912.419891892</v>
      </c>
    </row>
    <row r="13" spans="1:17" ht="23.45" customHeight="1" x14ac:dyDescent="0.25">
      <c r="C13" s="363" t="s">
        <v>300</v>
      </c>
      <c r="D13" s="701">
        <f>'TAULA MARE DEF'!$U$30</f>
        <v>1513283.7515795999</v>
      </c>
      <c r="E13" s="701"/>
      <c r="F13" s="301"/>
      <c r="G13" s="301">
        <f t="shared" si="0"/>
        <v>1513283.7515795999</v>
      </c>
      <c r="H13" s="307"/>
      <c r="I13" s="1682"/>
    </row>
    <row r="14" spans="1:17" ht="21.6" customHeight="1" x14ac:dyDescent="0.25">
      <c r="C14" s="364" t="s">
        <v>123</v>
      </c>
      <c r="D14" s="701">
        <f>'TAULA MARE DEF'!$U$38</f>
        <v>295603.79307825601</v>
      </c>
      <c r="E14" s="701"/>
      <c r="F14" s="320"/>
      <c r="G14" s="320">
        <f>D14-F14</f>
        <v>295603.79307825601</v>
      </c>
      <c r="H14" s="321"/>
      <c r="I14" s="1682"/>
    </row>
    <row r="15" spans="1:17" ht="26.45" customHeight="1" x14ac:dyDescent="0.25">
      <c r="C15" s="7" t="s">
        <v>303</v>
      </c>
      <c r="D15" s="701">
        <f>'TAULA MARE DEF'!$U$46</f>
        <v>247086.56489345705</v>
      </c>
      <c r="E15" s="701"/>
      <c r="F15" s="301"/>
      <c r="G15" s="301">
        <f t="shared" si="0"/>
        <v>247086.56489345705</v>
      </c>
      <c r="H15" s="307" t="e">
        <f t="shared" si="1"/>
        <v>#DIV/0!</v>
      </c>
      <c r="I15" s="1683"/>
      <c r="K15" t="s">
        <v>269</v>
      </c>
      <c r="M15">
        <v>5100</v>
      </c>
      <c r="N15">
        <v>3</v>
      </c>
      <c r="O15">
        <v>20639.22</v>
      </c>
      <c r="P15">
        <v>27346.966500000002</v>
      </c>
      <c r="Q15">
        <v>82040.8995</v>
      </c>
    </row>
    <row r="16" spans="1:17" ht="30.6" customHeight="1" x14ac:dyDescent="0.25">
      <c r="C16" s="713" t="s">
        <v>124</v>
      </c>
      <c r="D16" s="702">
        <f>SUM(D17:D24)</f>
        <v>481195.74755771999</v>
      </c>
      <c r="E16" s="574"/>
      <c r="F16" s="767">
        <f>SUM(F17:F24)</f>
        <v>341482.36165749998</v>
      </c>
      <c r="G16" s="318"/>
      <c r="H16" s="319"/>
      <c r="I16" s="1684" t="s">
        <v>440</v>
      </c>
      <c r="K16" t="s">
        <v>270</v>
      </c>
      <c r="M16">
        <v>5605.4054054054059</v>
      </c>
      <c r="N16">
        <v>3.2972972972972974</v>
      </c>
      <c r="O16">
        <v>20639.22</v>
      </c>
      <c r="P16">
        <v>27346.966500000002</v>
      </c>
      <c r="Q16">
        <v>90171.078729729736</v>
      </c>
    </row>
    <row r="17" spans="3:17" ht="20.100000000000001" customHeight="1" x14ac:dyDescent="0.25">
      <c r="C17" s="364" t="s">
        <v>125</v>
      </c>
      <c r="D17" s="701">
        <f>'TAULA MARE DEF'!U55</f>
        <v>139843.40760000001</v>
      </c>
      <c r="E17" s="701"/>
      <c r="F17" s="800">
        <v>109387.86600000001</v>
      </c>
      <c r="G17" s="160">
        <f>D17-F17</f>
        <v>30455.541599999997</v>
      </c>
      <c r="H17" s="707"/>
      <c r="I17" s="1685"/>
    </row>
    <row r="18" spans="3:17" ht="20.100000000000001" customHeight="1" x14ac:dyDescent="0.25">
      <c r="C18" s="364" t="s">
        <v>298</v>
      </c>
      <c r="D18" s="701">
        <f>'TAULA MARE DEF'!U56</f>
        <v>49380.186959999999</v>
      </c>
      <c r="E18" s="701"/>
      <c r="F18" s="301"/>
      <c r="G18" s="7"/>
      <c r="H18" s="707"/>
      <c r="I18" s="1685"/>
    </row>
    <row r="19" spans="3:17" ht="20.100000000000001" customHeight="1" x14ac:dyDescent="0.25">
      <c r="C19" s="364" t="s">
        <v>305</v>
      </c>
      <c r="D19" s="701">
        <f>'TAULA MARE DEF'!U57</f>
        <v>23605.293717719996</v>
      </c>
      <c r="E19" s="701"/>
      <c r="F19" s="301">
        <v>19735.394157499999</v>
      </c>
      <c r="G19" s="7"/>
      <c r="H19" s="707"/>
      <c r="I19" s="1685"/>
      <c r="K19" t="s">
        <v>272</v>
      </c>
      <c r="M19">
        <v>6800</v>
      </c>
      <c r="N19">
        <v>4</v>
      </c>
      <c r="O19">
        <v>20639.22</v>
      </c>
      <c r="P19">
        <v>27346.966500000002</v>
      </c>
      <c r="Q19">
        <v>109387.86600000001</v>
      </c>
    </row>
    <row r="20" spans="3:17" ht="20.100000000000001" customHeight="1" x14ac:dyDescent="0.25">
      <c r="C20" s="364" t="s">
        <v>306</v>
      </c>
      <c r="D20" s="701">
        <f>'TAULA MARE DEF'!U58</f>
        <v>60373.946879999996</v>
      </c>
      <c r="E20" s="701"/>
      <c r="F20" s="301">
        <v>61013.175999999999</v>
      </c>
      <c r="G20" s="301"/>
      <c r="H20" s="307"/>
      <c r="I20" s="1685"/>
      <c r="K20" t="s">
        <v>274</v>
      </c>
    </row>
    <row r="21" spans="3:17" ht="20.100000000000001" customHeight="1" x14ac:dyDescent="0.25">
      <c r="C21" s="364" t="s">
        <v>307</v>
      </c>
      <c r="D21" s="697">
        <f>'TAULA MARE DEF'!U59</f>
        <v>77701.160159999999</v>
      </c>
      <c r="E21" s="697"/>
      <c r="F21" s="320">
        <v>30506.588</v>
      </c>
      <c r="G21" s="301"/>
      <c r="H21" s="321"/>
      <c r="I21" s="1685"/>
      <c r="K21" t="s">
        <v>275</v>
      </c>
      <c r="M21">
        <v>3400</v>
      </c>
      <c r="N21">
        <v>2</v>
      </c>
      <c r="O21">
        <v>23023.84</v>
      </c>
      <c r="P21">
        <v>30506.588</v>
      </c>
      <c r="Q21">
        <v>61013.175999999999</v>
      </c>
    </row>
    <row r="22" spans="3:17" ht="20.100000000000001" customHeight="1" x14ac:dyDescent="0.25">
      <c r="C22" s="364" t="s">
        <v>308</v>
      </c>
      <c r="D22" s="697">
        <f>'TAULA MARE DEF'!U60</f>
        <v>38850.58008</v>
      </c>
      <c r="E22" s="320"/>
      <c r="F22" s="320">
        <v>48335.735000000001</v>
      </c>
      <c r="G22" s="301">
        <f>D17-F17</f>
        <v>30455.541599999997</v>
      </c>
      <c r="H22" s="307">
        <f>(D17/F17)-1</f>
        <v>0.27841791520094183</v>
      </c>
      <c r="I22" s="1685"/>
      <c r="K22" t="s">
        <v>276</v>
      </c>
      <c r="M22">
        <v>1700</v>
      </c>
      <c r="N22">
        <v>1</v>
      </c>
      <c r="O22">
        <v>23023.84</v>
      </c>
      <c r="P22">
        <v>30506.588</v>
      </c>
      <c r="Q22">
        <v>30506.588</v>
      </c>
    </row>
    <row r="23" spans="3:17" ht="20.100000000000001" customHeight="1" x14ac:dyDescent="0.25">
      <c r="C23" s="365" t="s">
        <v>309</v>
      </c>
      <c r="D23" s="697">
        <f>'TAULA MARE DEF'!U61</f>
        <v>64044.527040000001</v>
      </c>
      <c r="E23" s="320"/>
      <c r="F23" s="320">
        <v>48335.735000000001</v>
      </c>
      <c r="G23" s="301"/>
      <c r="H23" s="307"/>
      <c r="I23" s="1685"/>
      <c r="K23" t="s">
        <v>277</v>
      </c>
      <c r="M23">
        <v>3400</v>
      </c>
      <c r="N23">
        <v>2</v>
      </c>
      <c r="O23">
        <v>18239.900000000001</v>
      </c>
      <c r="P23">
        <v>24167.8675</v>
      </c>
      <c r="Q23">
        <v>48335.735000000001</v>
      </c>
    </row>
    <row r="24" spans="3:17" ht="20.100000000000001" customHeight="1" x14ac:dyDescent="0.25">
      <c r="C24" s="4" t="s">
        <v>310</v>
      </c>
      <c r="D24" s="697">
        <f>'TAULA MARE DEF'!U62</f>
        <v>27396.645120000001</v>
      </c>
      <c r="E24" s="320"/>
      <c r="F24" s="320">
        <v>24167.8675</v>
      </c>
      <c r="G24" s="320"/>
      <c r="H24" s="321"/>
      <c r="I24" s="1686"/>
      <c r="K24" t="s">
        <v>277</v>
      </c>
      <c r="M24">
        <v>3400</v>
      </c>
      <c r="N24">
        <v>2</v>
      </c>
      <c r="O24">
        <v>18239.900000000001</v>
      </c>
      <c r="P24">
        <v>24167.8675</v>
      </c>
      <c r="Q24">
        <v>48335.735000000001</v>
      </c>
    </row>
    <row r="25" spans="3:17" ht="20.100000000000001" customHeight="1" x14ac:dyDescent="0.25">
      <c r="C25" s="726" t="s">
        <v>314</v>
      </c>
      <c r="D25" s="584">
        <f>D26</f>
        <v>51835.991999999998</v>
      </c>
      <c r="E25" s="318"/>
      <c r="F25" s="801">
        <f>SUM(F17:F24)</f>
        <v>341482.36165749998</v>
      </c>
      <c r="G25" s="318"/>
      <c r="H25" s="319"/>
      <c r="I25" s="327"/>
    </row>
    <row r="26" spans="3:17" ht="20.100000000000001" customHeight="1" x14ac:dyDescent="0.25">
      <c r="C26" s="7" t="s">
        <v>315</v>
      </c>
      <c r="D26" s="697">
        <f>'TAULA MARE DEF'!$U$68</f>
        <v>51835.991999999998</v>
      </c>
      <c r="E26" s="320"/>
      <c r="F26" s="320"/>
      <c r="G26" s="301"/>
      <c r="H26" s="307"/>
      <c r="I26" s="327"/>
    </row>
    <row r="27" spans="3:17" x14ac:dyDescent="0.25">
      <c r="C27" s="763" t="s">
        <v>429</v>
      </c>
      <c r="D27" s="764">
        <f>D25+D16+D11+D8</f>
        <v>2849067.996909033</v>
      </c>
      <c r="E27" s="765"/>
      <c r="F27" s="765">
        <f>F16+F11+F8</f>
        <v>380587.61665749998</v>
      </c>
      <c r="G27" s="765"/>
      <c r="H27" s="766"/>
      <c r="I27" s="706"/>
    </row>
    <row r="28" spans="3:17" ht="18" customHeight="1" x14ac:dyDescent="0.25">
      <c r="C28" s="727" t="s">
        <v>428</v>
      </c>
      <c r="D28" s="728">
        <f>SUM(C29:D31)</f>
        <v>434628.67975875223</v>
      </c>
      <c r="E28" s="729"/>
      <c r="F28" s="729">
        <f>SUM(F29:F30)</f>
        <v>335661.64</v>
      </c>
      <c r="G28" s="729"/>
      <c r="H28" s="730"/>
      <c r="I28" s="706"/>
    </row>
    <row r="29" spans="3:17" ht="18" customHeight="1" x14ac:dyDescent="0.25">
      <c r="C29" s="7" t="s">
        <v>284</v>
      </c>
      <c r="D29" s="711">
        <f>'TAULA MARE DEF'!U73</f>
        <v>157008.16971169406</v>
      </c>
      <c r="E29" s="703"/>
      <c r="F29" s="703">
        <v>154027.79</v>
      </c>
      <c r="G29" s="704">
        <f>D20-F20</f>
        <v>-639.2291200000036</v>
      </c>
      <c r="H29" s="705">
        <f>(D20/F20)-1</f>
        <v>-1.0476902890614981E-2</v>
      </c>
      <c r="I29" s="706" t="s">
        <v>441</v>
      </c>
    </row>
    <row r="30" spans="3:17" ht="18" customHeight="1" x14ac:dyDescent="0.25">
      <c r="C30" s="323" t="s">
        <v>286</v>
      </c>
      <c r="D30" s="320">
        <f>'TAULA MARE DEF'!U74</f>
        <v>48712.805639473605</v>
      </c>
      <c r="E30" s="320"/>
      <c r="F30" s="320">
        <v>181633.85</v>
      </c>
      <c r="G30" s="320">
        <f>D21-F21</f>
        <v>47194.572159999996</v>
      </c>
      <c r="H30" s="321">
        <f>(D21/F21)-1</f>
        <v>1.547028863404849</v>
      </c>
      <c r="I30" s="377"/>
    </row>
    <row r="31" spans="3:17" ht="18" customHeight="1" x14ac:dyDescent="0.25">
      <c r="C31" s="365" t="s">
        <v>285</v>
      </c>
      <c r="D31" s="320">
        <f>'TAULA MARE DEF'!U75</f>
        <v>228907.70440758456</v>
      </c>
      <c r="E31" s="320"/>
      <c r="F31" s="320"/>
      <c r="G31" s="320">
        <f>D22-F22</f>
        <v>-9485.1549200000009</v>
      </c>
      <c r="H31" s="321">
        <f>(D22/F22)-1</f>
        <v>-0.19623483371050421</v>
      </c>
      <c r="I31" s="327"/>
    </row>
    <row r="32" spans="3:17" ht="18" customHeight="1" x14ac:dyDescent="0.25">
      <c r="C32" s="763" t="s">
        <v>430</v>
      </c>
      <c r="D32" s="764">
        <f>D27+D28</f>
        <v>3283696.6766677853</v>
      </c>
      <c r="E32" s="765"/>
      <c r="F32" s="765">
        <f>F28+F27</f>
        <v>716249.25665750005</v>
      </c>
      <c r="G32" s="764">
        <f>D32-F32</f>
        <v>2567447.4200102855</v>
      </c>
      <c r="H32" s="766">
        <f>(D32-F32)/D32</f>
        <v>0.78187715639304056</v>
      </c>
      <c r="I32" s="325"/>
    </row>
    <row r="33" spans="1:11" ht="18" customHeight="1" x14ac:dyDescent="0.25">
      <c r="C33" s="778" t="s">
        <v>436</v>
      </c>
      <c r="D33" s="779">
        <f>D34+D35+D36</f>
        <v>100500</v>
      </c>
      <c r="E33" s="780"/>
      <c r="F33" s="780"/>
      <c r="G33" s="779"/>
      <c r="H33" s="781"/>
      <c r="I33" s="325"/>
    </row>
    <row r="34" spans="1:11" ht="18" customHeight="1" x14ac:dyDescent="0.25">
      <c r="C34" s="4" t="s">
        <v>311</v>
      </c>
      <c r="D34" s="697">
        <f>'TAULA MARE DEF'!U79</f>
        <v>46500</v>
      </c>
      <c r="E34" s="320"/>
      <c r="F34" s="320"/>
      <c r="G34" s="697"/>
      <c r="H34" s="321"/>
      <c r="I34" s="325"/>
    </row>
    <row r="35" spans="1:11" ht="18" customHeight="1" x14ac:dyDescent="0.25">
      <c r="C35" s="4" t="s">
        <v>132</v>
      </c>
      <c r="D35" s="697">
        <f>'TAULA MARE DEF'!U80</f>
        <v>31200</v>
      </c>
      <c r="E35" s="320"/>
      <c r="F35" s="320"/>
      <c r="G35" s="697"/>
      <c r="H35" s="321"/>
      <c r="I35" s="325"/>
    </row>
    <row r="36" spans="1:11" ht="18" customHeight="1" x14ac:dyDescent="0.25">
      <c r="C36" s="4" t="s">
        <v>133</v>
      </c>
      <c r="D36" s="697">
        <f>'TAULA MARE DEF'!U81</f>
        <v>22800</v>
      </c>
      <c r="E36" s="320"/>
      <c r="F36" s="320"/>
      <c r="G36" s="697"/>
      <c r="H36" s="321"/>
      <c r="I36" s="325"/>
    </row>
    <row r="37" spans="1:11" ht="18" customHeight="1" x14ac:dyDescent="0.25">
      <c r="C37" s="762" t="s">
        <v>263</v>
      </c>
      <c r="D37" s="782"/>
      <c r="E37" s="762"/>
      <c r="F37" s="762"/>
      <c r="G37" s="762"/>
      <c r="H37" s="762"/>
      <c r="I37" s="774"/>
      <c r="J37">
        <v>24167.8675</v>
      </c>
      <c r="K37">
        <v>24167.8675</v>
      </c>
    </row>
    <row r="38" spans="1:11" ht="15.75" thickBot="1" x14ac:dyDescent="0.3">
      <c r="C38" s="760" t="s">
        <v>289</v>
      </c>
      <c r="D38" s="714"/>
      <c r="E38" s="714"/>
      <c r="F38" s="7"/>
      <c r="G38" s="761"/>
      <c r="H38" s="761"/>
      <c r="I38" s="344"/>
    </row>
    <row r="39" spans="1:11" ht="15.75" thickBot="1" x14ac:dyDescent="0.3">
      <c r="A39" s="298">
        <v>2</v>
      </c>
      <c r="B39" s="759" t="s">
        <v>258</v>
      </c>
      <c r="C39" s="760" t="s">
        <v>290</v>
      </c>
      <c r="D39" s="714"/>
      <c r="E39" s="714"/>
      <c r="F39" s="7"/>
      <c r="G39" s="761"/>
      <c r="H39" s="761"/>
      <c r="I39" s="344"/>
    </row>
    <row r="40" spans="1:11" x14ac:dyDescent="0.25">
      <c r="A40" s="298"/>
      <c r="B40" s="257"/>
      <c r="C40" s="715" t="s">
        <v>401</v>
      </c>
      <c r="D40" s="320">
        <f>'TAULA MARE DEF'!U87</f>
        <v>97290.83</v>
      </c>
      <c r="E40" s="324"/>
      <c r="F40" s="324">
        <v>100000</v>
      </c>
      <c r="G40" s="301">
        <f t="shared" ref="G40:G48" si="2">D42-F42</f>
        <v>-25680</v>
      </c>
      <c r="H40" s="300">
        <f>(D42/F42)-1</f>
        <v>-0.97272727272727277</v>
      </c>
      <c r="I40" s="299" t="s">
        <v>260</v>
      </c>
    </row>
    <row r="41" spans="1:11" ht="15.75" thickBot="1" x14ac:dyDescent="0.3">
      <c r="A41" s="298"/>
      <c r="B41" s="257"/>
      <c r="C41" s="716" t="s">
        <v>402</v>
      </c>
      <c r="D41" s="320">
        <f>'TAULA MARE DEF'!U88</f>
        <v>1200</v>
      </c>
      <c r="E41" s="324"/>
      <c r="F41" s="324">
        <v>50000</v>
      </c>
      <c r="G41" s="301">
        <f t="shared" si="2"/>
        <v>-6936</v>
      </c>
      <c r="H41" s="300">
        <f>(D43/F43)-1</f>
        <v>-0.5254545454545454</v>
      </c>
      <c r="I41" s="299" t="s">
        <v>260</v>
      </c>
    </row>
    <row r="42" spans="1:11" x14ac:dyDescent="0.25">
      <c r="C42" s="717" t="s">
        <v>343</v>
      </c>
      <c r="D42" s="697">
        <f>'TAULA MARE DEF'!U89</f>
        <v>720</v>
      </c>
      <c r="E42" s="719"/>
      <c r="F42" s="301">
        <v>26400</v>
      </c>
      <c r="G42" s="301">
        <f t="shared" si="2"/>
        <v>-16060</v>
      </c>
      <c r="H42" s="300">
        <f>(D44/F44)-1</f>
        <v>-0.73</v>
      </c>
      <c r="I42" s="299" t="s">
        <v>260</v>
      </c>
    </row>
    <row r="43" spans="1:11" x14ac:dyDescent="0.25">
      <c r="C43" s="363" t="s">
        <v>134</v>
      </c>
      <c r="D43" s="697">
        <f>'TAULA MARE DEF'!U90</f>
        <v>6264</v>
      </c>
      <c r="E43" s="719"/>
      <c r="F43" s="301">
        <v>13200</v>
      </c>
      <c r="G43" s="301">
        <f t="shared" si="2"/>
        <v>1196</v>
      </c>
      <c r="H43" s="300"/>
      <c r="I43" s="299" t="s">
        <v>260</v>
      </c>
    </row>
    <row r="44" spans="1:11" x14ac:dyDescent="0.25">
      <c r="C44" s="363" t="s">
        <v>135</v>
      </c>
      <c r="D44" s="320">
        <f>'TAULA MARE DEF'!U91</f>
        <v>5940</v>
      </c>
      <c r="E44" s="324"/>
      <c r="F44" s="301">
        <v>22000</v>
      </c>
      <c r="G44" s="301">
        <f t="shared" si="2"/>
        <v>1161.5999999999999</v>
      </c>
      <c r="H44" s="300"/>
      <c r="I44" s="299" t="s">
        <v>260</v>
      </c>
    </row>
    <row r="45" spans="1:11" x14ac:dyDescent="0.25">
      <c r="C45" s="363" t="s">
        <v>316</v>
      </c>
      <c r="D45" s="320">
        <f>'TAULA MARE DEF'!U92</f>
        <v>1196</v>
      </c>
      <c r="E45" s="324"/>
      <c r="F45" s="301">
        <v>0</v>
      </c>
      <c r="G45" s="301">
        <f t="shared" si="2"/>
        <v>360</v>
      </c>
      <c r="H45" s="300"/>
      <c r="I45" s="299" t="s">
        <v>260</v>
      </c>
    </row>
    <row r="46" spans="1:11" x14ac:dyDescent="0.25">
      <c r="C46" s="363" t="s">
        <v>204</v>
      </c>
      <c r="D46" s="720">
        <f>'TAULA MARE DEF'!U93</f>
        <v>1161.5999999999999</v>
      </c>
      <c r="E46" s="721"/>
      <c r="F46" s="301">
        <v>0</v>
      </c>
      <c r="G46" s="301">
        <f t="shared" si="2"/>
        <v>1603.2</v>
      </c>
      <c r="H46" s="300"/>
      <c r="I46" s="299" t="s">
        <v>260</v>
      </c>
    </row>
    <row r="47" spans="1:11" x14ac:dyDescent="0.25">
      <c r="C47" s="363" t="s">
        <v>317</v>
      </c>
      <c r="D47" s="320">
        <f>'TAULA MARE DEF'!U94</f>
        <v>360</v>
      </c>
      <c r="E47" s="324"/>
      <c r="F47" s="301">
        <v>0</v>
      </c>
      <c r="G47" s="301">
        <f t="shared" si="2"/>
        <v>2020</v>
      </c>
      <c r="H47" s="300">
        <f>(D49/F49)-1</f>
        <v>1.0099999999999998</v>
      </c>
      <c r="I47" s="299" t="s">
        <v>260</v>
      </c>
    </row>
    <row r="48" spans="1:11" x14ac:dyDescent="0.25">
      <c r="C48" s="363" t="s">
        <v>234</v>
      </c>
      <c r="D48" s="320">
        <f>'TAULA MARE DEF'!U95</f>
        <v>1603.2</v>
      </c>
      <c r="E48" s="324"/>
      <c r="F48" s="301">
        <v>0</v>
      </c>
      <c r="G48" s="301">
        <f t="shared" si="2"/>
        <v>-6232</v>
      </c>
      <c r="H48" s="300">
        <f>(D50/F50)-1</f>
        <v>-0.94281391830559758</v>
      </c>
      <c r="I48" s="299" t="s">
        <v>260</v>
      </c>
    </row>
    <row r="49" spans="1:9" x14ac:dyDescent="0.25">
      <c r="C49" s="363" t="s">
        <v>157</v>
      </c>
      <c r="D49" s="320">
        <f>'TAULA MARE DEF'!U96</f>
        <v>4020</v>
      </c>
      <c r="E49" s="324"/>
      <c r="F49" s="301">
        <v>2000</v>
      </c>
      <c r="G49" s="301" t="e">
        <f>D51-#REF!</f>
        <v>#REF!</v>
      </c>
      <c r="H49" s="300"/>
      <c r="I49" s="299" t="s">
        <v>260</v>
      </c>
    </row>
    <row r="50" spans="1:9" x14ac:dyDescent="0.25">
      <c r="C50" s="363" t="s">
        <v>158</v>
      </c>
      <c r="D50" s="320">
        <f>'TAULA MARE DEF'!U97</f>
        <v>378</v>
      </c>
      <c r="E50" s="324"/>
      <c r="F50" s="301">
        <v>6610</v>
      </c>
      <c r="G50" s="301"/>
      <c r="H50" s="314"/>
      <c r="I50" s="299"/>
    </row>
    <row r="51" spans="1:9" x14ac:dyDescent="0.25">
      <c r="C51" s="363" t="s">
        <v>55</v>
      </c>
      <c r="D51" s="320">
        <f>'TAULA MARE DEF'!U98</f>
        <v>4320</v>
      </c>
      <c r="E51" s="324"/>
      <c r="F51" s="301"/>
      <c r="G51" s="301"/>
      <c r="H51" s="314"/>
      <c r="I51" s="299"/>
    </row>
    <row r="52" spans="1:9" ht="15.75" thickBot="1" x14ac:dyDescent="0.3">
      <c r="C52" s="709" t="s">
        <v>137</v>
      </c>
      <c r="D52" s="320">
        <f>'TAULA MARE DEF'!U99</f>
        <v>17496</v>
      </c>
      <c r="E52" s="324"/>
      <c r="F52" s="301"/>
      <c r="G52" s="301"/>
      <c r="H52" s="314"/>
      <c r="I52" s="299"/>
    </row>
    <row r="53" spans="1:9" ht="15.75" thickBot="1" x14ac:dyDescent="0.3">
      <c r="C53" s="710" t="s">
        <v>56</v>
      </c>
      <c r="D53" s="320">
        <f>'TAULA MARE DEF'!U100</f>
        <v>300</v>
      </c>
      <c r="E53" s="324"/>
      <c r="F53" s="301"/>
      <c r="G53" s="301"/>
      <c r="H53" s="314"/>
      <c r="I53" s="299"/>
    </row>
    <row r="54" spans="1:9" ht="15.75" thickBot="1" x14ac:dyDescent="0.3">
      <c r="C54" s="710" t="s">
        <v>245</v>
      </c>
      <c r="D54" s="320">
        <f>'TAULA MARE DEF'!U104</f>
        <v>2484</v>
      </c>
      <c r="E54" s="324"/>
      <c r="F54" s="301"/>
      <c r="G54" s="301"/>
      <c r="H54" s="314"/>
      <c r="I54" s="299"/>
    </row>
    <row r="55" spans="1:9" ht="15.75" thickBot="1" x14ac:dyDescent="0.3">
      <c r="C55" s="710" t="s">
        <v>142</v>
      </c>
      <c r="D55" s="320">
        <f>'TAULA MARE DEF'!U105</f>
        <v>1358.1</v>
      </c>
      <c r="E55" s="324"/>
      <c r="F55" s="301"/>
      <c r="G55" s="301"/>
      <c r="H55" s="314"/>
      <c r="I55" s="299"/>
    </row>
    <row r="56" spans="1:9" ht="15.75" thickBot="1" x14ac:dyDescent="0.3">
      <c r="C56" s="710" t="s">
        <v>147</v>
      </c>
      <c r="D56" s="320">
        <f>'TAULA MARE DEF'!U106</f>
        <v>1458</v>
      </c>
      <c r="E56" s="324"/>
      <c r="F56" s="301"/>
      <c r="G56" s="301"/>
      <c r="H56" s="314"/>
      <c r="I56" s="299"/>
    </row>
    <row r="57" spans="1:9" ht="15.75" thickBot="1" x14ac:dyDescent="0.3">
      <c r="C57" s="710" t="s">
        <v>151</v>
      </c>
      <c r="D57" s="320">
        <f>'TAULA MARE DEF'!U107</f>
        <v>1929.3749999999998</v>
      </c>
      <c r="E57" s="324"/>
      <c r="F57" s="301"/>
      <c r="G57" s="301"/>
      <c r="H57" s="300"/>
      <c r="I57" s="299"/>
    </row>
    <row r="58" spans="1:9" ht="15.75" thickBot="1" x14ac:dyDescent="0.3">
      <c r="C58" s="710" t="s">
        <v>228</v>
      </c>
      <c r="D58" s="320">
        <f>'TAULA MARE DEF'!U108</f>
        <v>3000</v>
      </c>
      <c r="E58" s="324"/>
      <c r="F58" s="301"/>
      <c r="G58" s="301"/>
      <c r="H58" s="300"/>
      <c r="I58" s="299"/>
    </row>
    <row r="59" spans="1:9" s="257" customFormat="1" ht="15.75" thickBot="1" x14ac:dyDescent="0.3">
      <c r="A59" s="298"/>
      <c r="C59" s="710" t="s">
        <v>403</v>
      </c>
      <c r="D59" s="320">
        <f>'TAULA MARE DEF'!U109</f>
        <v>1600</v>
      </c>
      <c r="E59" s="324"/>
      <c r="F59" s="301"/>
      <c r="G59" s="301"/>
      <c r="H59" s="300"/>
      <c r="I59" s="299"/>
    </row>
    <row r="60" spans="1:9" s="257" customFormat="1" x14ac:dyDescent="0.25">
      <c r="A60" s="298"/>
      <c r="C60" s="718" t="s">
        <v>404</v>
      </c>
      <c r="D60" s="320">
        <f>'TAULA MARE DEF'!U110</f>
        <v>9000</v>
      </c>
      <c r="E60" s="324"/>
      <c r="F60" s="301"/>
      <c r="G60" s="301"/>
      <c r="H60" s="300"/>
      <c r="I60" s="299"/>
    </row>
    <row r="61" spans="1:9" s="295" customFormat="1" ht="16.5" thickBot="1" x14ac:dyDescent="0.3">
      <c r="A61" s="291"/>
      <c r="C61" s="7" t="s">
        <v>227</v>
      </c>
      <c r="D61" s="320">
        <f>'TAULA MARE DEF'!U111</f>
        <v>2000</v>
      </c>
      <c r="E61" s="324"/>
      <c r="F61" s="345"/>
      <c r="G61" s="313"/>
      <c r="H61" s="315"/>
      <c r="I61" s="708"/>
    </row>
    <row r="62" spans="1:9" s="293" customFormat="1" ht="16.5" thickBot="1" x14ac:dyDescent="0.3">
      <c r="A62" s="294"/>
      <c r="C62" s="7" t="s">
        <v>230</v>
      </c>
      <c r="D62" s="320">
        <f>'TAULA MARE DEF'!U113</f>
        <v>600</v>
      </c>
      <c r="E62" s="324"/>
      <c r="F62" s="345"/>
      <c r="G62" s="313"/>
      <c r="H62" s="315"/>
      <c r="I62" s="316"/>
    </row>
    <row r="63" spans="1:9" s="293" customFormat="1" ht="16.5" thickBot="1" x14ac:dyDescent="0.3">
      <c r="A63" s="294"/>
      <c r="C63" s="322" t="s">
        <v>405</v>
      </c>
      <c r="D63" s="371">
        <f>'TAULA MARE DEF'!U114</f>
        <v>6000</v>
      </c>
      <c r="E63" s="694"/>
      <c r="F63" s="345"/>
      <c r="G63" s="313"/>
      <c r="H63" s="315"/>
      <c r="I63" s="316"/>
    </row>
    <row r="64" spans="1:9" s="293" customFormat="1" ht="15.75" x14ac:dyDescent="0.25">
      <c r="A64" s="291"/>
      <c r="B64" s="295"/>
      <c r="C64" s="763" t="s">
        <v>432</v>
      </c>
      <c r="D64" s="777">
        <f>SUM(D40:D63)</f>
        <v>171679.10500000001</v>
      </c>
      <c r="E64" s="763"/>
      <c r="F64" s="763"/>
      <c r="G64" s="763"/>
      <c r="H64" s="763"/>
      <c r="I64" s="763"/>
    </row>
    <row r="65" spans="1:9" s="293" customFormat="1" ht="30.6" customHeight="1" x14ac:dyDescent="0.25">
      <c r="A65" s="291"/>
      <c r="B65" s="295"/>
      <c r="C65" s="111" t="s">
        <v>435</v>
      </c>
      <c r="D65" s="776">
        <f>D64+D33+D32</f>
        <v>3555875.7816677853</v>
      </c>
      <c r="E65" s="775"/>
      <c r="F65" s="775"/>
      <c r="G65" s="775"/>
      <c r="H65" s="775"/>
      <c r="I65" s="112"/>
    </row>
    <row r="66" spans="1:9" s="293" customFormat="1" ht="21" customHeight="1" x14ac:dyDescent="0.25">
      <c r="A66" s="294"/>
      <c r="B66" s="293" t="s">
        <v>256</v>
      </c>
      <c r="C66" s="769" t="s">
        <v>431</v>
      </c>
      <c r="D66" s="770"/>
      <c r="E66" s="771"/>
      <c r="F66" s="771"/>
      <c r="G66" s="770"/>
      <c r="H66" s="772"/>
      <c r="I66" s="769"/>
    </row>
    <row r="67" spans="1:9" s="293" customFormat="1" ht="15.6" customHeight="1" x14ac:dyDescent="0.25">
      <c r="A67" s="294"/>
      <c r="C67" s="773" t="s">
        <v>434</v>
      </c>
      <c r="D67" s="697">
        <f>'TAULA MARE DEF'!U120</f>
        <v>222851.70722363354</v>
      </c>
      <c r="E67" s="320"/>
      <c r="F67" s="320"/>
      <c r="G67" s="697"/>
      <c r="H67" s="321"/>
      <c r="I67" s="4"/>
    </row>
    <row r="68" spans="1:9" s="293" customFormat="1" ht="15.75" x14ac:dyDescent="0.25">
      <c r="A68" s="294"/>
      <c r="C68" s="4" t="s">
        <v>433</v>
      </c>
      <c r="D68" s="697">
        <f>'TAULA MARE DEF'!U121</f>
        <v>185709.75518636132</v>
      </c>
      <c r="E68" s="320"/>
      <c r="F68" s="320"/>
      <c r="G68" s="697"/>
      <c r="H68" s="321"/>
      <c r="I68" s="4"/>
    </row>
    <row r="69" spans="1:9" s="293" customFormat="1" ht="33" customHeight="1" thickBot="1" x14ac:dyDescent="0.3">
      <c r="A69" s="294"/>
      <c r="C69" s="788" t="s">
        <v>21</v>
      </c>
      <c r="D69" s="789">
        <f>SUM(D67:D68)</f>
        <v>408561.46240999486</v>
      </c>
      <c r="E69" s="790"/>
      <c r="F69" s="790"/>
      <c r="G69" s="790"/>
      <c r="H69" s="790"/>
      <c r="I69" s="112"/>
    </row>
    <row r="70" spans="1:9" ht="19.5" thickBot="1" x14ac:dyDescent="0.35">
      <c r="B70" s="784" t="s">
        <v>249</v>
      </c>
      <c r="C70" s="791" t="s">
        <v>437</v>
      </c>
      <c r="D70" s="791">
        <f>D65+D69</f>
        <v>3964437.2440777803</v>
      </c>
      <c r="E70" s="792"/>
      <c r="F70" s="297"/>
      <c r="G70" s="296"/>
      <c r="H70" s="257"/>
    </row>
    <row r="71" spans="1:9" ht="23.45" customHeight="1" thickBot="1" x14ac:dyDescent="0.35">
      <c r="B71" s="784"/>
      <c r="C71" s="784" t="s">
        <v>248</v>
      </c>
      <c r="D71" s="795">
        <f>D70</f>
        <v>3964437.2440777803</v>
      </c>
      <c r="E71" s="7"/>
      <c r="F71" s="7"/>
      <c r="G71" s="7"/>
      <c r="H71" s="707"/>
      <c r="I71" s="257"/>
    </row>
    <row r="72" spans="1:9" ht="24" customHeight="1" thickBot="1" x14ac:dyDescent="0.3">
      <c r="B72" s="289" t="s">
        <v>63</v>
      </c>
      <c r="C72" s="793">
        <v>0.1</v>
      </c>
      <c r="D72" s="794">
        <f>D71*10%</f>
        <v>396443.72440777806</v>
      </c>
      <c r="E72" s="785"/>
      <c r="F72" s="785"/>
      <c r="G72" s="786"/>
      <c r="H72" s="787"/>
      <c r="I72" s="257"/>
    </row>
    <row r="73" spans="1:9" ht="19.5" thickBot="1" x14ac:dyDescent="0.35">
      <c r="B73" s="289" t="s">
        <v>247</v>
      </c>
      <c r="C73" s="288" t="s">
        <v>246</v>
      </c>
      <c r="D73" s="783">
        <f>D71+D72</f>
        <v>4360880.9684855584</v>
      </c>
      <c r="E73" s="287"/>
      <c r="F73" s="286">
        <f>F72*10%</f>
        <v>0</v>
      </c>
      <c r="G73" s="286">
        <f>D73-F73</f>
        <v>4360880.9684855584</v>
      </c>
      <c r="H73" s="285" t="e">
        <f>(D73/F73)-1</f>
        <v>#DIV/0!</v>
      </c>
      <c r="I73" s="257"/>
    </row>
    <row r="74" spans="1:9" x14ac:dyDescent="0.25">
      <c r="D74" s="257"/>
      <c r="H74"/>
    </row>
    <row r="75" spans="1:9" x14ac:dyDescent="0.25">
      <c r="I75" s="257"/>
    </row>
    <row r="76" spans="1:9" x14ac:dyDescent="0.25">
      <c r="I76" s="257"/>
    </row>
    <row r="77" spans="1:9" x14ac:dyDescent="0.25">
      <c r="I77" s="257"/>
    </row>
    <row r="78" spans="1:9" x14ac:dyDescent="0.25">
      <c r="I78" s="257"/>
    </row>
  </sheetData>
  <mergeCells count="4">
    <mergeCell ref="C3:I4"/>
    <mergeCell ref="I8:I10"/>
    <mergeCell ref="I12:I15"/>
    <mergeCell ref="I16:I24"/>
  </mergeCells>
  <pageMargins left="0.70866141732283472" right="0.70866141732283472" top="0.74803149606299213" bottom="0.74803149606299213" header="0.31496062992125984" footer="0.31496062992125984"/>
  <pageSetup paperSize="9" scale="38" fitToWidth="0" orientation="landscape" r:id="rId1"/>
  <customProperties>
    <customPr name="EpmWorksheetKeyString_GUID" r:id="rId2"/>
  </customPropertie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AH139"/>
  <sheetViews>
    <sheetView topLeftCell="A30" zoomScaleNormal="100" workbookViewId="0">
      <selection activeCell="F57" sqref="F57"/>
    </sheetView>
  </sheetViews>
  <sheetFormatPr defaultColWidth="10.85546875" defaultRowHeight="15" x14ac:dyDescent="0.25"/>
  <cols>
    <col min="1" max="1" width="72" style="216" customWidth="1"/>
    <col min="2" max="2" width="10.85546875" bestFit="1" customWidth="1"/>
    <col min="3" max="3" width="9.140625" customWidth="1"/>
    <col min="4" max="4" width="11.140625" customWidth="1"/>
    <col min="5" max="6" width="15.7109375" customWidth="1"/>
    <col min="7" max="7" width="12.85546875" bestFit="1" customWidth="1"/>
    <col min="8" max="8" width="11" bestFit="1" customWidth="1"/>
    <col min="9" max="9" width="14" bestFit="1" customWidth="1"/>
    <col min="10" max="11" width="15.7109375" hidden="1" customWidth="1"/>
    <col min="12" max="12" width="18" hidden="1" customWidth="1"/>
    <col min="13" max="13" width="14.7109375" bestFit="1" customWidth="1"/>
    <col min="14" max="14" width="13.5703125" bestFit="1" customWidth="1"/>
    <col min="15" max="15" width="15.140625" bestFit="1" customWidth="1"/>
    <col min="16" max="16" width="14.7109375" bestFit="1" customWidth="1"/>
    <col min="17" max="17" width="23.5703125" hidden="1" customWidth="1"/>
    <col min="18" max="18" width="9.28515625" bestFit="1" customWidth="1"/>
    <col min="19" max="19" width="16.5703125" customWidth="1"/>
    <col min="20" max="20" width="13.140625" bestFit="1" customWidth="1"/>
    <col min="21" max="21" width="22.140625" customWidth="1"/>
    <col min="22" max="22" width="14.140625" style="2" customWidth="1"/>
    <col min="23" max="23" width="13.140625" bestFit="1" customWidth="1"/>
    <col min="24" max="24" width="27.85546875" bestFit="1" customWidth="1"/>
    <col min="25" max="25" width="15.5703125" bestFit="1" customWidth="1"/>
    <col min="26" max="26" width="16.7109375" bestFit="1" customWidth="1"/>
    <col min="27" max="28" width="13.5703125" customWidth="1"/>
    <col min="29" max="29" width="14.7109375" bestFit="1" customWidth="1"/>
    <col min="31" max="31" width="11.28515625" bestFit="1" customWidth="1"/>
    <col min="34" max="34" width="12.42578125" bestFit="1" customWidth="1"/>
  </cols>
  <sheetData>
    <row r="1" spans="1:23" ht="18.75" x14ac:dyDescent="0.25">
      <c r="A1" s="1692" t="s">
        <v>65</v>
      </c>
      <c r="B1" s="1692"/>
      <c r="C1" s="1692"/>
      <c r="D1" s="1692"/>
      <c r="E1" s="1692"/>
      <c r="F1" s="1692"/>
      <c r="G1" s="1692"/>
      <c r="H1" s="1692"/>
      <c r="I1" s="1692"/>
      <c r="J1" s="1692"/>
      <c r="K1" s="1692"/>
      <c r="L1" s="1692"/>
      <c r="M1" s="1692"/>
      <c r="N1" s="1692"/>
      <c r="O1" s="1692"/>
      <c r="P1" s="1692"/>
      <c r="Q1" s="1692"/>
      <c r="R1" s="1692"/>
      <c r="S1" s="1692"/>
      <c r="T1" s="1692"/>
      <c r="U1" s="1692"/>
      <c r="V1" s="1692"/>
      <c r="W1" s="1692"/>
    </row>
    <row r="3" spans="1:23" ht="15.75" x14ac:dyDescent="0.25">
      <c r="A3" s="1693" t="s">
        <v>0</v>
      </c>
      <c r="B3" s="1693"/>
      <c r="C3" s="1693"/>
      <c r="D3" s="1693"/>
      <c r="E3" s="1693"/>
      <c r="F3" s="1693"/>
      <c r="G3" s="1693"/>
      <c r="H3" s="1693"/>
      <c r="I3" s="1693"/>
      <c r="J3" s="1693"/>
      <c r="K3" s="1693"/>
      <c r="L3" s="1693"/>
      <c r="M3" s="1693"/>
      <c r="N3" s="1693"/>
      <c r="O3" s="1693"/>
      <c r="P3" s="1693"/>
      <c r="Q3" s="1693"/>
      <c r="R3" s="1693"/>
      <c r="S3" s="1693"/>
      <c r="T3" s="1693"/>
      <c r="U3" s="1693"/>
      <c r="V3" s="1693"/>
      <c r="W3" s="1693"/>
    </row>
    <row r="4" spans="1:23" ht="16.5" x14ac:dyDescent="0.25">
      <c r="A4" s="1694" t="s">
        <v>1</v>
      </c>
      <c r="B4" s="1694"/>
      <c r="C4" s="1694"/>
      <c r="D4" s="1694"/>
      <c r="E4" s="1694"/>
      <c r="F4" s="1694"/>
      <c r="G4" s="1694"/>
      <c r="H4" s="1694"/>
      <c r="I4" s="1694"/>
      <c r="J4" s="1694"/>
      <c r="K4" s="1694"/>
      <c r="L4" s="1694"/>
      <c r="M4" s="1694"/>
      <c r="N4" s="1694"/>
      <c r="O4" s="1694"/>
      <c r="P4" s="1694"/>
      <c r="Q4" s="1694"/>
      <c r="R4" s="1694"/>
      <c r="S4" s="1694"/>
      <c r="T4" s="1694"/>
      <c r="U4" s="1694"/>
      <c r="V4" s="1694"/>
      <c r="W4" s="1694"/>
    </row>
    <row r="6" spans="1:23" x14ac:dyDescent="0.25">
      <c r="C6" t="s">
        <v>291</v>
      </c>
      <c r="D6" s="382">
        <v>45658</v>
      </c>
      <c r="E6" t="s">
        <v>406</v>
      </c>
      <c r="G6" s="21"/>
      <c r="H6" s="21"/>
      <c r="I6" s="559">
        <f>(G8*H7)/G7</f>
        <v>0.36083333333333334</v>
      </c>
      <c r="J6" s="21">
        <v>1226.83</v>
      </c>
      <c r="K6" s="21">
        <v>4.33</v>
      </c>
      <c r="L6" s="21"/>
      <c r="M6" s="21"/>
      <c r="N6" s="21"/>
      <c r="O6" s="21"/>
      <c r="P6" s="21"/>
      <c r="Q6" s="21"/>
      <c r="R6" s="21"/>
      <c r="S6" s="21"/>
      <c r="T6" s="21"/>
      <c r="U6" s="21"/>
      <c r="V6" s="21"/>
    </row>
    <row r="7" spans="1:23" ht="18" x14ac:dyDescent="0.25">
      <c r="A7" s="244"/>
      <c r="G7" s="21">
        <v>12</v>
      </c>
      <c r="H7" s="21">
        <v>1</v>
      </c>
      <c r="I7" s="21"/>
      <c r="J7" s="21"/>
      <c r="K7" s="560"/>
      <c r="L7" s="21"/>
      <c r="M7" s="21"/>
      <c r="N7" s="21"/>
      <c r="O7" s="21"/>
      <c r="P7" s="21"/>
      <c r="Q7" s="21"/>
      <c r="R7" s="21"/>
      <c r="S7" s="21"/>
      <c r="T7" s="21"/>
      <c r="U7" s="21"/>
      <c r="V7" s="21"/>
    </row>
    <row r="8" spans="1:23" x14ac:dyDescent="0.25">
      <c r="G8" s="21">
        <v>4.33</v>
      </c>
      <c r="H8" s="806"/>
      <c r="I8" s="811"/>
      <c r="J8" s="811"/>
      <c r="K8" s="811"/>
      <c r="L8" s="811"/>
      <c r="M8" s="811"/>
      <c r="N8" s="811"/>
      <c r="O8" s="811"/>
      <c r="P8" s="808"/>
      <c r="Q8" s="811"/>
      <c r="R8" s="811"/>
      <c r="S8" s="811"/>
      <c r="T8" s="21"/>
      <c r="U8" s="21"/>
      <c r="V8" s="21"/>
    </row>
    <row r="9" spans="1:23" x14ac:dyDescent="0.25">
      <c r="A9" s="217" t="s">
        <v>24</v>
      </c>
      <c r="B9" s="204">
        <v>225</v>
      </c>
      <c r="C9" s="9" t="s">
        <v>2</v>
      </c>
      <c r="D9" s="10"/>
      <c r="E9" s="10"/>
      <c r="F9" s="11"/>
      <c r="G9" s="21"/>
      <c r="H9" s="21">
        <v>1700</v>
      </c>
      <c r="I9" s="851"/>
      <c r="J9" s="806"/>
      <c r="K9" s="851"/>
      <c r="L9" s="852"/>
      <c r="M9" s="850"/>
      <c r="N9" s="851"/>
      <c r="O9" s="851"/>
      <c r="P9" s="561"/>
      <c r="Q9" s="21"/>
      <c r="R9" s="21"/>
      <c r="S9" s="21"/>
      <c r="T9" s="21"/>
      <c r="U9" s="21"/>
      <c r="V9" s="21"/>
      <c r="W9" s="1"/>
    </row>
    <row r="10" spans="1:23" ht="15.75" thickBot="1" x14ac:dyDescent="0.3">
      <c r="A10" s="218" t="s">
        <v>3</v>
      </c>
      <c r="B10" s="205">
        <v>1700</v>
      </c>
      <c r="C10" s="6" t="s">
        <v>4</v>
      </c>
      <c r="F10" s="12"/>
      <c r="G10" s="21"/>
      <c r="H10" s="562"/>
      <c r="I10" s="853"/>
      <c r="J10" s="854"/>
      <c r="K10" s="806"/>
      <c r="L10" s="850"/>
      <c r="M10" s="850"/>
      <c r="N10" s="855"/>
      <c r="O10" s="855"/>
      <c r="P10" s="561"/>
      <c r="Q10" s="21"/>
      <c r="R10" s="21"/>
      <c r="S10" s="21"/>
      <c r="T10" s="21"/>
      <c r="U10" s="21"/>
      <c r="V10" s="21"/>
    </row>
    <row r="11" spans="1:23" ht="15.75" thickBot="1" x14ac:dyDescent="0.3">
      <c r="A11" s="219"/>
      <c r="B11" s="14"/>
      <c r="C11" s="13"/>
      <c r="D11" s="15"/>
      <c r="E11" s="15"/>
      <c r="F11" s="14"/>
      <c r="G11" s="21"/>
      <c r="H11" s="567"/>
      <c r="I11" s="851"/>
      <c r="J11" s="854"/>
      <c r="K11" s="851"/>
      <c r="L11" s="852"/>
      <c r="M11" s="852"/>
      <c r="N11" s="806"/>
      <c r="O11" s="806"/>
      <c r="P11" s="561"/>
      <c r="Q11" s="21"/>
      <c r="R11" s="21"/>
      <c r="S11" s="21"/>
      <c r="T11" s="21"/>
      <c r="U11" s="21"/>
      <c r="V11" s="21"/>
    </row>
    <row r="12" spans="1:23" x14ac:dyDescent="0.25">
      <c r="A12" s="220" t="s">
        <v>25</v>
      </c>
      <c r="B12" s="16">
        <v>0.32600000000000001</v>
      </c>
      <c r="C12" s="6" t="s">
        <v>26</v>
      </c>
      <c r="F12" s="12"/>
      <c r="G12" s="21"/>
      <c r="H12" s="562" t="e">
        <f>(H9*I10)/I9</f>
        <v>#DIV/0!</v>
      </c>
      <c r="I12" s="851"/>
      <c r="J12" s="851"/>
      <c r="K12" s="806"/>
      <c r="L12" s="851"/>
      <c r="M12" s="851"/>
      <c r="N12" s="806"/>
      <c r="O12" s="806"/>
      <c r="P12" s="569"/>
      <c r="Q12" s="21"/>
      <c r="R12" s="21"/>
      <c r="S12" s="21"/>
      <c r="T12" s="21"/>
      <c r="U12" s="21"/>
      <c r="V12" s="21"/>
      <c r="W12" s="1"/>
    </row>
    <row r="13" spans="1:23" x14ac:dyDescent="0.25">
      <c r="A13" s="217" t="s">
        <v>5</v>
      </c>
      <c r="B13" s="858">
        <v>5.2299999999999999E-2</v>
      </c>
      <c r="C13" s="6" t="s">
        <v>420</v>
      </c>
      <c r="F13" s="12"/>
      <c r="G13" s="21"/>
      <c r="H13" s="21"/>
      <c r="I13" s="806"/>
      <c r="J13" s="806"/>
      <c r="K13" s="806"/>
      <c r="L13" s="806"/>
      <c r="M13" s="806"/>
      <c r="N13" s="806"/>
      <c r="O13" s="806"/>
      <c r="P13" s="561"/>
      <c r="Q13" s="21"/>
      <c r="R13" s="21"/>
      <c r="S13" s="21"/>
      <c r="T13" s="21"/>
      <c r="U13" s="21"/>
      <c r="V13" s="21"/>
      <c r="W13" s="1"/>
    </row>
    <row r="14" spans="1:23" x14ac:dyDescent="0.25">
      <c r="A14" s="217" t="s">
        <v>6</v>
      </c>
      <c r="B14" s="858">
        <v>2.2499999999999999E-2</v>
      </c>
      <c r="C14" s="6" t="s">
        <v>7</v>
      </c>
      <c r="F14" s="12"/>
      <c r="G14" s="21"/>
      <c r="H14" s="21"/>
      <c r="I14" s="562">
        <f>F30*0.2</f>
        <v>11419.1</v>
      </c>
      <c r="J14" s="21"/>
      <c r="K14" s="21"/>
      <c r="L14" s="21"/>
      <c r="M14" s="562">
        <f>I14/33.59</f>
        <v>339.95534385233697</v>
      </c>
      <c r="N14" s="21"/>
      <c r="O14" s="561"/>
      <c r="P14" s="21"/>
      <c r="Q14" s="561"/>
      <c r="R14" s="561"/>
      <c r="S14" s="561">
        <f>O26+O26</f>
        <v>57956.001200696053</v>
      </c>
      <c r="T14" s="561"/>
      <c r="U14" s="21">
        <f>U15-W15</f>
        <v>182200.39112079737</v>
      </c>
      <c r="V14" s="806"/>
      <c r="W14" s="22"/>
    </row>
    <row r="15" spans="1:23" x14ac:dyDescent="0.25">
      <c r="A15" s="217" t="s">
        <v>8</v>
      </c>
      <c r="B15" s="18">
        <v>0.05</v>
      </c>
      <c r="C15" s="23"/>
      <c r="D15" s="24"/>
      <c r="E15" s="24"/>
      <c r="F15" s="25"/>
      <c r="G15" s="21"/>
      <c r="H15" s="21"/>
      <c r="I15" s="21"/>
      <c r="J15" s="21"/>
      <c r="K15" s="21"/>
      <c r="L15" s="21"/>
      <c r="M15" s="21"/>
      <c r="N15" s="21"/>
      <c r="O15" s="561"/>
      <c r="P15" s="565"/>
      <c r="Q15" s="21"/>
      <c r="R15" s="21"/>
      <c r="S15" s="561">
        <f>M26+44235.96</f>
        <v>89018.260000000009</v>
      </c>
      <c r="T15" s="561">
        <f>S15/2</f>
        <v>44509.130000000005</v>
      </c>
      <c r="U15" s="21">
        <v>182200.39112079737</v>
      </c>
      <c r="V15" s="806"/>
      <c r="W15" s="21"/>
    </row>
    <row r="16" spans="1:23" x14ac:dyDescent="0.25">
      <c r="H16" s="846"/>
      <c r="I16" s="846"/>
      <c r="J16" s="846"/>
      <c r="K16" s="846"/>
      <c r="L16" s="846"/>
      <c r="M16" s="846"/>
      <c r="N16" s="846"/>
      <c r="O16" s="846"/>
      <c r="P16" s="846"/>
      <c r="Q16" s="846"/>
      <c r="R16" s="846"/>
      <c r="S16" s="847">
        <f>SUM(S14:S15)</f>
        <v>146974.26120069606</v>
      </c>
      <c r="T16" s="846"/>
      <c r="V16" s="660"/>
    </row>
    <row r="17" spans="1:29" ht="15.75" thickBot="1" x14ac:dyDescent="0.3">
      <c r="V17" s="660"/>
    </row>
    <row r="18" spans="1:29" ht="57.6" customHeight="1" thickBot="1" x14ac:dyDescent="0.3">
      <c r="A18" s="221" t="s">
        <v>10</v>
      </c>
      <c r="B18" s="26" t="s">
        <v>27</v>
      </c>
      <c r="C18" s="27" t="s">
        <v>11</v>
      </c>
      <c r="D18" s="27" t="s">
        <v>12</v>
      </c>
      <c r="E18" s="27" t="s">
        <v>13</v>
      </c>
      <c r="F18" s="26" t="s">
        <v>28</v>
      </c>
      <c r="G18" s="26" t="s">
        <v>29</v>
      </c>
      <c r="H18" s="26" t="s">
        <v>299</v>
      </c>
      <c r="I18" s="26" t="s">
        <v>242</v>
      </c>
      <c r="J18" s="26" t="s">
        <v>30</v>
      </c>
      <c r="K18" s="26" t="s">
        <v>31</v>
      </c>
      <c r="L18" s="28" t="s">
        <v>32</v>
      </c>
      <c r="M18" s="28" t="s">
        <v>414</v>
      </c>
      <c r="N18" s="27" t="s">
        <v>14</v>
      </c>
      <c r="O18" s="26" t="s">
        <v>421</v>
      </c>
      <c r="P18" s="26" t="s">
        <v>423</v>
      </c>
      <c r="Q18" s="29" t="s">
        <v>34</v>
      </c>
      <c r="R18" s="693" t="s">
        <v>422</v>
      </c>
      <c r="S18" s="695" t="s">
        <v>474</v>
      </c>
      <c r="T18" s="695" t="s">
        <v>425</v>
      </c>
      <c r="U18" s="30" t="s">
        <v>35</v>
      </c>
      <c r="V18" s="650"/>
      <c r="X18" s="31" t="s">
        <v>36</v>
      </c>
      <c r="Y18" s="32" t="s">
        <v>37</v>
      </c>
      <c r="Z18" s="32" t="s">
        <v>38</v>
      </c>
      <c r="AA18" s="32" t="s">
        <v>39</v>
      </c>
      <c r="AB18" s="32" t="s">
        <v>40</v>
      </c>
      <c r="AC18" s="33" t="s">
        <v>9</v>
      </c>
    </row>
    <row r="19" spans="1:29" ht="30" customHeight="1" thickBot="1" x14ac:dyDescent="0.3">
      <c r="A19" s="222" t="s">
        <v>41</v>
      </c>
      <c r="B19" s="34"/>
      <c r="C19" s="34"/>
      <c r="D19" s="34"/>
      <c r="E19" s="35"/>
      <c r="F19" s="34"/>
      <c r="G19" s="34"/>
      <c r="H19" s="34"/>
      <c r="I19" s="34"/>
      <c r="J19" s="34"/>
      <c r="K19" s="34"/>
      <c r="L19" s="34"/>
      <c r="M19" s="34"/>
      <c r="N19" s="34"/>
      <c r="O19" s="34"/>
      <c r="P19" s="34"/>
      <c r="Q19" s="36"/>
      <c r="R19" s="692"/>
      <c r="S19" s="692"/>
      <c r="T19" s="692"/>
      <c r="U19" s="35" t="s">
        <v>42</v>
      </c>
      <c r="V19" s="651"/>
      <c r="X19" s="7"/>
      <c r="Y19" s="10"/>
      <c r="Z19" s="37"/>
      <c r="AA19" s="37"/>
      <c r="AB19" s="37"/>
      <c r="AC19" s="37"/>
    </row>
    <row r="20" spans="1:29" ht="21.75" customHeight="1" x14ac:dyDescent="0.25">
      <c r="A20" s="384" t="s">
        <v>66</v>
      </c>
      <c r="B20" s="385"/>
      <c r="C20" s="386"/>
      <c r="D20" s="385"/>
      <c r="E20" s="387"/>
      <c r="F20" s="385"/>
      <c r="G20" s="388"/>
      <c r="H20" s="388"/>
      <c r="I20" s="388"/>
      <c r="J20" s="389"/>
      <c r="K20" s="389"/>
      <c r="L20" s="390"/>
      <c r="M20" s="390"/>
      <c r="N20" s="391"/>
      <c r="O20" s="391"/>
      <c r="P20" s="392"/>
      <c r="Q20" s="393">
        <f>IF(L20&gt;P20,L20,P20)</f>
        <v>0</v>
      </c>
      <c r="R20" s="393"/>
      <c r="S20" s="746">
        <f>S21</f>
        <v>49151.040000000001</v>
      </c>
      <c r="T20" s="393"/>
      <c r="U20" s="570">
        <f>SUM(U21:U24)</f>
        <v>65174.279040000001</v>
      </c>
      <c r="V20" s="652"/>
      <c r="X20" s="160"/>
      <c r="Z20" s="3"/>
      <c r="AA20" s="3"/>
      <c r="AB20" s="3"/>
      <c r="AC20" s="3"/>
    </row>
    <row r="21" spans="1:29" ht="21.75" customHeight="1" x14ac:dyDescent="0.25">
      <c r="A21" s="223" t="s">
        <v>294</v>
      </c>
      <c r="B21" s="38"/>
      <c r="C21" s="39" t="s">
        <v>121</v>
      </c>
      <c r="D21" s="38">
        <f>F21/225</f>
        <v>7.5555555555555554</v>
      </c>
      <c r="E21" s="40">
        <v>37.799999999999997</v>
      </c>
      <c r="F21" s="422">
        <v>1700</v>
      </c>
      <c r="G21" s="41">
        <v>1</v>
      </c>
      <c r="H21" s="41"/>
      <c r="I21" s="41"/>
      <c r="J21" s="42"/>
      <c r="K21" s="42"/>
      <c r="L21" s="43"/>
      <c r="M21" s="621">
        <v>49151.040000000001</v>
      </c>
      <c r="N21" s="268">
        <v>30703.54</v>
      </c>
      <c r="O21" s="667">
        <f>N24+N23+N22+N21</f>
        <v>37577.603768851506</v>
      </c>
      <c r="P21" s="668">
        <f>IF(M21&gt;O21,M21,O21)</f>
        <v>49151.040000000001</v>
      </c>
      <c r="Q21" s="44"/>
      <c r="R21" s="684">
        <f>(P21-O21)/P21</f>
        <v>0.23546676186604584</v>
      </c>
      <c r="S21" s="691">
        <f>P21*G21</f>
        <v>49151.040000000001</v>
      </c>
      <c r="T21" s="696">
        <f>$B$12*S21</f>
        <v>16023.23904</v>
      </c>
      <c r="U21" s="45">
        <f>S21+T21</f>
        <v>65174.279040000001</v>
      </c>
      <c r="V21" s="492"/>
      <c r="W21" s="20"/>
      <c r="X21" s="160">
        <f t="shared" ref="X21:X24" si="0">U21</f>
        <v>65174.279040000001</v>
      </c>
      <c r="Z21" s="3"/>
      <c r="AA21" s="3"/>
      <c r="AB21" s="3"/>
      <c r="AC21" s="3"/>
    </row>
    <row r="22" spans="1:29" ht="21" customHeight="1" x14ac:dyDescent="0.25">
      <c r="A22" s="617" t="s">
        <v>293</v>
      </c>
      <c r="B22" s="38"/>
      <c r="C22" s="39" t="s">
        <v>16</v>
      </c>
      <c r="D22" s="38"/>
      <c r="E22" s="40"/>
      <c r="F22" s="38">
        <f>F21*I22</f>
        <v>850</v>
      </c>
      <c r="G22" s="41">
        <v>1</v>
      </c>
      <c r="H22" s="415">
        <f>'SALARIS CONVENI 2024'!$D$7</f>
        <v>1.7809483758700697</v>
      </c>
      <c r="I22" s="428">
        <v>0.5</v>
      </c>
      <c r="J22" s="42"/>
      <c r="K22" s="42"/>
      <c r="L22" s="43"/>
      <c r="M22" s="669"/>
      <c r="N22" s="268">
        <f>H22*F22</f>
        <v>1513.8061194895593</v>
      </c>
      <c r="O22" s="673"/>
      <c r="P22" s="676"/>
      <c r="Q22" s="44"/>
      <c r="R22" s="44"/>
      <c r="S22" s="44"/>
      <c r="T22" s="696">
        <f t="shared" ref="T22:T68" si="1">$B$12*S22</f>
        <v>0</v>
      </c>
      <c r="U22" s="45"/>
      <c r="V22" s="492"/>
      <c r="X22" s="160">
        <f t="shared" si="0"/>
        <v>0</v>
      </c>
      <c r="Z22" s="3"/>
      <c r="AA22" s="3"/>
      <c r="AB22" s="3"/>
      <c r="AC22" s="3"/>
    </row>
    <row r="23" spans="1:29" ht="15.95" customHeight="1" x14ac:dyDescent="0.25">
      <c r="A23" s="617" t="s">
        <v>292</v>
      </c>
      <c r="B23" s="38"/>
      <c r="C23" s="39"/>
      <c r="D23" s="38">
        <f>D20*0.25</f>
        <v>0</v>
      </c>
      <c r="E23" s="40">
        <f>E20*0.25</f>
        <v>0</v>
      </c>
      <c r="F23" s="38">
        <f>F21*I23</f>
        <v>425</v>
      </c>
      <c r="G23" s="41">
        <v>1</v>
      </c>
      <c r="H23" s="415">
        <f>'SALARIS CONVENI 2024'!$E$7</f>
        <v>4.4523709396751743</v>
      </c>
      <c r="I23" s="428">
        <v>0.25</v>
      </c>
      <c r="J23" s="42"/>
      <c r="K23" s="42"/>
      <c r="L23" s="43"/>
      <c r="M23" s="669"/>
      <c r="N23" s="268">
        <f>F23*H23</f>
        <v>1892.257649361949</v>
      </c>
      <c r="O23" s="673"/>
      <c r="P23" s="676"/>
      <c r="Q23" s="44"/>
      <c r="R23" s="44"/>
      <c r="S23" s="44"/>
      <c r="T23" s="696">
        <f t="shared" si="1"/>
        <v>0</v>
      </c>
      <c r="U23" s="45"/>
      <c r="V23" s="492"/>
      <c r="W23" s="20"/>
      <c r="X23" s="160">
        <f t="shared" si="0"/>
        <v>0</v>
      </c>
      <c r="Z23" s="3"/>
      <c r="AA23" s="3"/>
      <c r="AB23" s="3"/>
      <c r="AC23" s="3"/>
    </row>
    <row r="24" spans="1:29" ht="15.95" customHeight="1" x14ac:dyDescent="0.25">
      <c r="A24" s="617" t="s">
        <v>318</v>
      </c>
      <c r="B24" s="38"/>
      <c r="C24" s="39"/>
      <c r="D24" s="38"/>
      <c r="E24" s="40"/>
      <c r="F24" s="38">
        <v>12</v>
      </c>
      <c r="G24" s="41">
        <v>1</v>
      </c>
      <c r="H24" s="415">
        <v>289</v>
      </c>
      <c r="I24" s="428"/>
      <c r="J24" s="42"/>
      <c r="K24" s="42"/>
      <c r="L24" s="43"/>
      <c r="M24" s="669"/>
      <c r="N24" s="268">
        <f>H24*F24</f>
        <v>3468</v>
      </c>
      <c r="O24" s="673"/>
      <c r="P24" s="676"/>
      <c r="Q24" s="44"/>
      <c r="R24" s="44"/>
      <c r="S24" s="44"/>
      <c r="T24" s="696">
        <f t="shared" si="1"/>
        <v>0</v>
      </c>
      <c r="U24" s="45"/>
      <c r="V24" s="492"/>
      <c r="W24" s="20"/>
      <c r="X24" s="160">
        <f t="shared" si="0"/>
        <v>0</v>
      </c>
      <c r="Z24" s="3"/>
      <c r="AA24" s="3"/>
      <c r="AB24" s="3"/>
      <c r="AC24" s="3"/>
    </row>
    <row r="25" spans="1:29" ht="15.75" x14ac:dyDescent="0.25">
      <c r="A25" s="394" t="s">
        <v>297</v>
      </c>
      <c r="B25" s="395"/>
      <c r="C25" s="396"/>
      <c r="D25" s="395"/>
      <c r="E25" s="397"/>
      <c r="F25" s="395"/>
      <c r="G25" s="398"/>
      <c r="H25" s="398"/>
      <c r="I25" s="431"/>
      <c r="J25" s="399"/>
      <c r="K25" s="399"/>
      <c r="L25" s="400"/>
      <c r="M25" s="400"/>
      <c r="N25" s="401"/>
      <c r="O25" s="664"/>
      <c r="P25" s="747"/>
      <c r="Q25" s="393">
        <f>IF(L25&gt;P25,L25,P25)</f>
        <v>0</v>
      </c>
      <c r="R25" s="796"/>
      <c r="S25" s="725">
        <f>SUM(S26:S53)</f>
        <v>1814576.1295763103</v>
      </c>
      <c r="T25" s="725"/>
      <c r="U25" s="845">
        <f>SUM(U26:U53)</f>
        <v>2406127.9478181871</v>
      </c>
      <c r="V25" s="653"/>
      <c r="W25" s="624"/>
      <c r="X25" s="160"/>
      <c r="Z25" s="3"/>
      <c r="AA25" s="3"/>
      <c r="AB25" s="3"/>
      <c r="AC25" s="3"/>
    </row>
    <row r="26" spans="1:29" ht="15.75" x14ac:dyDescent="0.25">
      <c r="A26" s="403" t="s">
        <v>298</v>
      </c>
      <c r="B26" s="404"/>
      <c r="C26" s="405"/>
      <c r="D26" s="404"/>
      <c r="E26" s="406"/>
      <c r="F26" s="802">
        <v>6800</v>
      </c>
      <c r="G26" s="803">
        <f>F26/1700</f>
        <v>4</v>
      </c>
      <c r="H26" s="407"/>
      <c r="I26" s="432"/>
      <c r="J26" s="408"/>
      <c r="K26" s="408"/>
      <c r="L26" s="409"/>
      <c r="M26" s="619">
        <v>44782.3</v>
      </c>
      <c r="N26" s="612">
        <v>24667.8</v>
      </c>
      <c r="O26" s="667">
        <f>N26+N27+N28+N29</f>
        <v>28978.000600348027</v>
      </c>
      <c r="P26" s="412">
        <f>IF(M26&gt;O26,M26,O26)</f>
        <v>44782.3</v>
      </c>
      <c r="Q26" s="413"/>
      <c r="R26" s="684">
        <f>(P26-O26)/P26</f>
        <v>0.35291397270019575</v>
      </c>
      <c r="S26" s="691">
        <v>146974.26</v>
      </c>
      <c r="T26" s="696">
        <f>$B$12*S26</f>
        <v>47913.608760000003</v>
      </c>
      <c r="U26" s="723">
        <f>S26+T26</f>
        <v>194887.86876000001</v>
      </c>
      <c r="V26" s="492"/>
      <c r="W26" s="624"/>
      <c r="X26" s="160">
        <f t="shared" ref="X26:X68" si="2">U26</f>
        <v>194887.86876000001</v>
      </c>
      <c r="Z26" s="3"/>
      <c r="AA26" s="3"/>
      <c r="AB26" s="3"/>
      <c r="AC26" s="3"/>
    </row>
    <row r="27" spans="1:29" ht="15.95" customHeight="1" x14ac:dyDescent="0.25">
      <c r="A27" s="618" t="s">
        <v>293</v>
      </c>
      <c r="B27" s="52"/>
      <c r="C27" s="53" t="s">
        <v>16</v>
      </c>
      <c r="D27" s="52"/>
      <c r="E27" s="54"/>
      <c r="F27" s="52">
        <f>F26*I27</f>
        <v>1700</v>
      </c>
      <c r="G27" s="417">
        <v>4</v>
      </c>
      <c r="H27" s="416">
        <f>'SALARIS CONVENI 2024'!$D$8</f>
        <v>1.5036049883990721</v>
      </c>
      <c r="I27" s="430">
        <v>0.25</v>
      </c>
      <c r="J27" s="56"/>
      <c r="K27" s="56"/>
      <c r="L27" s="328"/>
      <c r="M27" s="571"/>
      <c r="N27" s="269">
        <f>(F27*H27)/G27</f>
        <v>639.03212006960564</v>
      </c>
      <c r="O27" s="673"/>
      <c r="P27" s="676"/>
      <c r="Q27" s="44"/>
      <c r="R27" s="44"/>
      <c r="S27" s="44"/>
      <c r="T27" s="696">
        <f t="shared" si="1"/>
        <v>0</v>
      </c>
      <c r="U27" s="45"/>
      <c r="V27" s="492"/>
      <c r="X27" s="160">
        <f t="shared" si="2"/>
        <v>0</v>
      </c>
      <c r="Z27" s="3"/>
      <c r="AA27" s="3"/>
      <c r="AB27" s="3"/>
      <c r="AC27" s="3"/>
    </row>
    <row r="28" spans="1:29" ht="15.95" customHeight="1" x14ac:dyDescent="0.25">
      <c r="A28" s="618" t="s">
        <v>282</v>
      </c>
      <c r="B28" s="52"/>
      <c r="C28" s="53"/>
      <c r="D28" s="52"/>
      <c r="E28" s="54"/>
      <c r="F28" s="52">
        <f>F26*I28</f>
        <v>2720</v>
      </c>
      <c r="G28" s="58">
        <v>4</v>
      </c>
      <c r="H28" s="419">
        <f>'SALARIS CONVENI 2024'!$E$8</f>
        <v>3.7590124709976802</v>
      </c>
      <c r="I28" s="430">
        <v>0.4</v>
      </c>
      <c r="J28" s="56"/>
      <c r="K28" s="56"/>
      <c r="L28" s="328"/>
      <c r="M28" s="687"/>
      <c r="N28" s="269">
        <f>(F28*H28)/4</f>
        <v>2556.1284802784226</v>
      </c>
      <c r="O28" s="673"/>
      <c r="P28" s="676"/>
      <c r="Q28" s="44"/>
      <c r="R28" s="44"/>
      <c r="S28" s="44"/>
      <c r="T28" s="696">
        <f t="shared" si="1"/>
        <v>0</v>
      </c>
      <c r="U28" s="45"/>
      <c r="V28" s="492"/>
      <c r="X28" s="160">
        <f t="shared" si="2"/>
        <v>0</v>
      </c>
      <c r="Z28" s="3"/>
      <c r="AA28" s="3"/>
      <c r="AB28" s="3"/>
      <c r="AC28" s="3"/>
    </row>
    <row r="29" spans="1:29" ht="15.95" customHeight="1" x14ac:dyDescent="0.25">
      <c r="A29" s="618" t="s">
        <v>301</v>
      </c>
      <c r="B29" s="52"/>
      <c r="C29" s="53"/>
      <c r="D29" s="52"/>
      <c r="E29" s="54"/>
      <c r="F29" s="52">
        <v>12</v>
      </c>
      <c r="G29" s="58">
        <v>4</v>
      </c>
      <c r="H29" s="419">
        <v>92.92</v>
      </c>
      <c r="I29" s="430"/>
      <c r="J29" s="56"/>
      <c r="K29" s="56"/>
      <c r="L29" s="328"/>
      <c r="M29" s="687"/>
      <c r="N29" s="269">
        <f>F29*H29</f>
        <v>1115.04</v>
      </c>
      <c r="O29" s="673"/>
      <c r="P29" s="676"/>
      <c r="Q29" s="44"/>
      <c r="R29" s="44"/>
      <c r="S29" s="44"/>
      <c r="T29" s="696">
        <f t="shared" si="1"/>
        <v>0</v>
      </c>
      <c r="U29" s="45"/>
      <c r="V29" s="492"/>
      <c r="X29" s="160">
        <f t="shared" si="2"/>
        <v>0</v>
      </c>
      <c r="Z29" s="3"/>
      <c r="AA29" s="3"/>
      <c r="AB29" s="3"/>
      <c r="AC29" s="3"/>
    </row>
    <row r="30" spans="1:29" ht="15.95" customHeight="1" x14ac:dyDescent="0.25">
      <c r="A30" s="215" t="s">
        <v>300</v>
      </c>
      <c r="B30" s="52"/>
      <c r="C30" s="444" t="s">
        <v>323</v>
      </c>
      <c r="D30" s="52"/>
      <c r="E30" s="54"/>
      <c r="F30" s="425">
        <v>57095.5</v>
      </c>
      <c r="G30" s="58">
        <f>F30/1700</f>
        <v>33.585588235294118</v>
      </c>
      <c r="H30" s="58"/>
      <c r="I30" s="430"/>
      <c r="J30" s="56"/>
      <c r="K30" s="56"/>
      <c r="L30" s="328"/>
      <c r="M30" s="619">
        <v>33980.04</v>
      </c>
      <c r="N30" s="269">
        <v>24667.8</v>
      </c>
      <c r="O30" s="667">
        <f>N30+N31+N32+N33</f>
        <v>31056.312477979303</v>
      </c>
      <c r="P30" s="271">
        <f>IF(M30&gt;O30,M30,O30)</f>
        <v>33980.04</v>
      </c>
      <c r="Q30" s="44"/>
      <c r="R30" s="44"/>
      <c r="S30" s="44">
        <f>P30*G30</f>
        <v>1141239.6316588235</v>
      </c>
      <c r="T30" s="696">
        <f t="shared" si="1"/>
        <v>372044.11992077646</v>
      </c>
      <c r="U30" s="45">
        <f>SUM(S30:T30)</f>
        <v>1513283.7515795999</v>
      </c>
      <c r="V30" s="492"/>
      <c r="W30" s="20"/>
      <c r="X30" s="160">
        <f t="shared" si="2"/>
        <v>1513283.7515795999</v>
      </c>
      <c r="Z30" s="3"/>
      <c r="AA30" s="3"/>
      <c r="AB30" s="3"/>
      <c r="AC30" s="3"/>
    </row>
    <row r="31" spans="1:29" ht="15.95" customHeight="1" x14ac:dyDescent="0.25">
      <c r="A31" s="618" t="s">
        <v>293</v>
      </c>
      <c r="B31" s="52"/>
      <c r="C31" s="53"/>
      <c r="D31" s="52"/>
      <c r="E31" s="54"/>
      <c r="F31" s="52">
        <f>F30*I31</f>
        <v>11419.1</v>
      </c>
      <c r="G31" s="58" t="s">
        <v>469</v>
      </c>
      <c r="H31" s="419">
        <f>'SALARIS CONVENI 2024'!$D$9</f>
        <v>1.4314274941995362</v>
      </c>
      <c r="I31" s="430">
        <v>0.2</v>
      </c>
      <c r="J31" s="56"/>
      <c r="K31" s="56"/>
      <c r="L31" s="328"/>
      <c r="M31" s="670"/>
      <c r="N31" s="269">
        <f>(F31*H31)/G30</f>
        <v>486.68534802784228</v>
      </c>
      <c r="O31" s="673"/>
      <c r="P31" s="676"/>
      <c r="Q31" s="44"/>
      <c r="R31" s="44"/>
      <c r="S31" s="44"/>
      <c r="T31" s="696">
        <f t="shared" si="1"/>
        <v>0</v>
      </c>
      <c r="U31" s="45"/>
      <c r="V31" s="492"/>
      <c r="X31" s="160">
        <f t="shared" si="2"/>
        <v>0</v>
      </c>
      <c r="Z31" s="3"/>
      <c r="AA31" s="3"/>
      <c r="AB31" s="3"/>
      <c r="AC31" s="3"/>
    </row>
    <row r="32" spans="1:29" ht="15.95" customHeight="1" x14ac:dyDescent="0.25">
      <c r="A32" s="685" t="s">
        <v>282</v>
      </c>
      <c r="B32" s="52"/>
      <c r="C32" s="53"/>
      <c r="D32" s="52"/>
      <c r="E32" s="54"/>
      <c r="F32" s="52">
        <f>F30*I32</f>
        <v>22838.2</v>
      </c>
      <c r="G32" s="58">
        <v>33.590000000000003</v>
      </c>
      <c r="H32" s="419">
        <f>'SALARIS CONVENI 2024'!$E$9</f>
        <v>3.5785687354988402</v>
      </c>
      <c r="I32" s="430">
        <v>0.4</v>
      </c>
      <c r="J32" s="56"/>
      <c r="K32" s="56"/>
      <c r="L32" s="328"/>
      <c r="M32" s="670"/>
      <c r="N32" s="269">
        <f>(F32*H32)/G32</f>
        <v>2433.107129951462</v>
      </c>
      <c r="O32" s="673"/>
      <c r="P32" s="676"/>
      <c r="Q32" s="44"/>
      <c r="R32" s="44"/>
      <c r="S32" s="44"/>
      <c r="T32" s="696">
        <f t="shared" si="1"/>
        <v>0</v>
      </c>
      <c r="U32" s="45"/>
      <c r="V32" s="492"/>
      <c r="X32" s="160">
        <f t="shared" si="2"/>
        <v>0</v>
      </c>
      <c r="Z32" s="3"/>
      <c r="AA32" s="3"/>
      <c r="AB32" s="3"/>
      <c r="AC32" s="3"/>
    </row>
    <row r="33" spans="1:29" ht="15.95" customHeight="1" x14ac:dyDescent="0.25">
      <c r="A33" s="686" t="s">
        <v>296</v>
      </c>
      <c r="B33" s="52"/>
      <c r="C33" s="53"/>
      <c r="D33" s="52"/>
      <c r="E33" s="54"/>
      <c r="F33" s="52">
        <v>12</v>
      </c>
      <c r="G33" s="58">
        <f>G30</f>
        <v>33.585588235294118</v>
      </c>
      <c r="H33" s="419">
        <v>289.06</v>
      </c>
      <c r="I33" s="430"/>
      <c r="J33" s="56"/>
      <c r="K33" s="56"/>
      <c r="L33" s="328"/>
      <c r="M33" s="670"/>
      <c r="N33" s="269">
        <f>F33*H33</f>
        <v>3468.7200000000003</v>
      </c>
      <c r="O33" s="673"/>
      <c r="P33" s="676"/>
      <c r="Q33" s="44"/>
      <c r="R33" s="44"/>
      <c r="S33" s="44"/>
      <c r="T33" s="696">
        <f t="shared" si="1"/>
        <v>0</v>
      </c>
      <c r="U33" s="45"/>
      <c r="V33" s="492"/>
      <c r="X33" s="160">
        <f t="shared" si="2"/>
        <v>0</v>
      </c>
      <c r="Z33" s="3"/>
      <c r="AA33" s="3"/>
      <c r="AB33" s="3"/>
      <c r="AC33" s="3"/>
    </row>
    <row r="34" spans="1:29" ht="15.95" customHeight="1" x14ac:dyDescent="0.25">
      <c r="A34" s="52" t="s">
        <v>322</v>
      </c>
      <c r="B34" s="441">
        <v>1</v>
      </c>
      <c r="C34" s="53" t="s">
        <v>16</v>
      </c>
      <c r="D34" s="52"/>
      <c r="E34" s="54"/>
      <c r="F34" s="52">
        <f>(F30/12)</f>
        <v>4757.958333333333</v>
      </c>
      <c r="G34" s="58">
        <f>F34/141.47</f>
        <v>33.632277750288637</v>
      </c>
      <c r="H34" s="419"/>
      <c r="I34" s="430"/>
      <c r="J34" s="56"/>
      <c r="K34" s="56"/>
      <c r="L34" s="328"/>
      <c r="M34" s="51"/>
      <c r="N34" s="269">
        <f>N30/12</f>
        <v>2055.65</v>
      </c>
      <c r="O34" s="673"/>
      <c r="P34" s="271">
        <f>N34</f>
        <v>2055.65</v>
      </c>
      <c r="Q34" s="44"/>
      <c r="R34" s="44"/>
      <c r="S34" s="44">
        <f>P34*G34</f>
        <v>69136.191757380846</v>
      </c>
      <c r="T34" s="696">
        <f t="shared" si="1"/>
        <v>22538.398512906155</v>
      </c>
      <c r="U34" s="45">
        <f>S34+T34</f>
        <v>91674.590270287008</v>
      </c>
      <c r="V34" s="492">
        <f>U34+U35+U36+U37</f>
        <v>115402.76762255016</v>
      </c>
      <c r="X34" s="160">
        <f t="shared" si="2"/>
        <v>91674.590270287008</v>
      </c>
      <c r="Z34" s="3"/>
      <c r="AA34" s="3"/>
      <c r="AB34" s="3"/>
      <c r="AC34" s="3"/>
    </row>
    <row r="35" spans="1:29" ht="15.95" customHeight="1" x14ac:dyDescent="0.25">
      <c r="A35" s="52" t="s">
        <v>326</v>
      </c>
      <c r="B35" s="441"/>
      <c r="C35" s="53" t="s">
        <v>16</v>
      </c>
      <c r="D35" s="52"/>
      <c r="E35" s="54"/>
      <c r="F35" s="52">
        <f>F34*0.4</f>
        <v>1903.1833333333334</v>
      </c>
      <c r="G35" s="58">
        <f>G34</f>
        <v>33.632277750288637</v>
      </c>
      <c r="H35" s="419">
        <f>'SALARIS CONVENI 2024'!$E$9</f>
        <v>3.5785687354988402</v>
      </c>
      <c r="I35" s="430">
        <v>0.4</v>
      </c>
      <c r="J35" s="56"/>
      <c r="K35" s="56"/>
      <c r="L35" s="328"/>
      <c r="M35" s="51"/>
      <c r="N35" s="269">
        <f>(F35*H35)/G35</f>
        <v>202.50404760440838</v>
      </c>
      <c r="O35" s="673"/>
      <c r="P35" s="271">
        <f>H35*F35</f>
        <v>6810.672374589135</v>
      </c>
      <c r="Q35" s="44"/>
      <c r="R35" s="44"/>
      <c r="S35" s="44">
        <f>N35*G35</f>
        <v>6810.672374589135</v>
      </c>
      <c r="T35" s="696">
        <f t="shared" si="1"/>
        <v>2220.2791941160581</v>
      </c>
      <c r="U35" s="45">
        <f t="shared" ref="U35:U37" si="3">S35+T35</f>
        <v>9030.9515687051935</v>
      </c>
      <c r="V35" s="492"/>
      <c r="X35" s="160">
        <f t="shared" si="2"/>
        <v>9030.9515687051935</v>
      </c>
      <c r="Z35" s="3"/>
      <c r="AA35" s="3"/>
      <c r="AB35" s="3"/>
      <c r="AC35" s="3"/>
    </row>
    <row r="36" spans="1:29" ht="15.95" customHeight="1" x14ac:dyDescent="0.25">
      <c r="A36" s="52" t="s">
        <v>320</v>
      </c>
      <c r="B36" s="441"/>
      <c r="C36" s="53" t="s">
        <v>16</v>
      </c>
      <c r="D36" s="52"/>
      <c r="E36" s="54"/>
      <c r="F36" s="52">
        <v>1</v>
      </c>
      <c r="G36" s="58">
        <f>G35</f>
        <v>33.632277750288637</v>
      </c>
      <c r="H36" s="419">
        <v>289.06</v>
      </c>
      <c r="I36" s="430"/>
      <c r="J36" s="56"/>
      <c r="K36" s="56"/>
      <c r="L36" s="328"/>
      <c r="M36" s="51"/>
      <c r="N36" s="269">
        <f>H36</f>
        <v>289.06</v>
      </c>
      <c r="O36" s="673"/>
      <c r="P36" s="271">
        <f>G36*H36</f>
        <v>9721.7462064984338</v>
      </c>
      <c r="Q36" s="44"/>
      <c r="R36" s="44"/>
      <c r="S36" s="44">
        <f>N36*G35</f>
        <v>9721.7462064984338</v>
      </c>
      <c r="T36" s="696">
        <f t="shared" si="1"/>
        <v>3169.2892633184897</v>
      </c>
      <c r="U36" s="45">
        <f t="shared" si="3"/>
        <v>12891.035469816923</v>
      </c>
      <c r="V36" s="492"/>
      <c r="X36" s="160">
        <f t="shared" si="2"/>
        <v>12891.035469816923</v>
      </c>
      <c r="Z36" s="3"/>
      <c r="AA36" s="3"/>
      <c r="AB36" s="3"/>
      <c r="AC36" s="3"/>
    </row>
    <row r="37" spans="1:29" ht="15.95" customHeight="1" x14ac:dyDescent="0.25">
      <c r="A37" s="52" t="s">
        <v>327</v>
      </c>
      <c r="B37" s="441"/>
      <c r="C37" s="53" t="s">
        <v>16</v>
      </c>
      <c r="D37" s="52"/>
      <c r="E37" s="54"/>
      <c r="F37" s="52">
        <f>F34*I37</f>
        <v>951.5916666666667</v>
      </c>
      <c r="G37" s="58">
        <f>G36</f>
        <v>33.632277750288637</v>
      </c>
      <c r="H37" s="419">
        <f>H31</f>
        <v>1.4314274941995362</v>
      </c>
      <c r="I37" s="430">
        <v>0.2</v>
      </c>
      <c r="J37" s="56"/>
      <c r="K37" s="56"/>
      <c r="L37" s="328"/>
      <c r="M37" s="51"/>
      <c r="N37" s="269">
        <f>(F37*H37)/G37</f>
        <v>40.500809520881674</v>
      </c>
      <c r="O37" s="673"/>
      <c r="P37" s="271">
        <f>N37</f>
        <v>40.500809520881674</v>
      </c>
      <c r="Q37" s="44"/>
      <c r="R37" s="44"/>
      <c r="S37" s="44">
        <f>N37*G37</f>
        <v>1362.134474917827</v>
      </c>
      <c r="T37" s="696">
        <f t="shared" si="1"/>
        <v>444.05583882321162</v>
      </c>
      <c r="U37" s="45">
        <f t="shared" si="3"/>
        <v>1806.1903137410386</v>
      </c>
      <c r="V37" s="492"/>
      <c r="X37" s="160">
        <f t="shared" si="2"/>
        <v>1806.1903137410386</v>
      </c>
      <c r="Z37" s="3"/>
      <c r="AA37" s="3"/>
      <c r="AB37" s="3"/>
      <c r="AC37" s="3"/>
    </row>
    <row r="38" spans="1:29" ht="15.75" x14ac:dyDescent="0.25">
      <c r="A38" s="215" t="s">
        <v>302</v>
      </c>
      <c r="B38" s="52"/>
      <c r="C38" s="444" t="s">
        <v>323</v>
      </c>
      <c r="D38" s="52"/>
      <c r="E38" s="54"/>
      <c r="F38" s="425">
        <v>10705.41</v>
      </c>
      <c r="G38" s="58">
        <f>F38/1700</f>
        <v>6.2972999999999999</v>
      </c>
      <c r="H38" s="58"/>
      <c r="I38" s="417"/>
      <c r="J38" s="56"/>
      <c r="K38" s="56"/>
      <c r="L38" s="328"/>
      <c r="M38" s="619">
        <v>35400.720000000001</v>
      </c>
      <c r="N38" s="329">
        <v>24667.8</v>
      </c>
      <c r="O38" s="667">
        <f>N38+N39+N40+N41</f>
        <v>31056.632088167051</v>
      </c>
      <c r="P38" s="271">
        <f>IF(M38&gt;O38,M38,O38)</f>
        <v>35400.720000000001</v>
      </c>
      <c r="Q38" s="44"/>
      <c r="R38" s="684">
        <f>(P38-O38)/P38</f>
        <v>0.12271185195761414</v>
      </c>
      <c r="S38" s="44">
        <f>P38*G38</f>
        <v>222928.95405600002</v>
      </c>
      <c r="T38" s="696">
        <f t="shared" si="1"/>
        <v>72674.839022256012</v>
      </c>
      <c r="U38" s="45">
        <f>SUM(S38:T38)</f>
        <v>295603.79307825601</v>
      </c>
      <c r="V38" s="492"/>
      <c r="X38" s="160">
        <f t="shared" si="2"/>
        <v>295603.79307825601</v>
      </c>
      <c r="Z38" s="3"/>
      <c r="AA38" s="3"/>
      <c r="AB38" s="3"/>
      <c r="AC38" s="3"/>
    </row>
    <row r="39" spans="1:29" ht="15.75" x14ac:dyDescent="0.25">
      <c r="A39" s="618" t="s">
        <v>293</v>
      </c>
      <c r="B39" s="52"/>
      <c r="C39" s="53"/>
      <c r="D39" s="52"/>
      <c r="E39" s="54"/>
      <c r="F39" s="52">
        <f>F38*I39</f>
        <v>2141.0819999999999</v>
      </c>
      <c r="G39" s="58">
        <v>6.2972999999999999</v>
      </c>
      <c r="H39" s="419">
        <f>'SALARIS CONVENI 2024'!$D$9</f>
        <v>1.4314274941995362</v>
      </c>
      <c r="I39" s="430">
        <v>0.2</v>
      </c>
      <c r="J39" s="56"/>
      <c r="K39" s="56"/>
      <c r="L39" s="328"/>
      <c r="M39" s="51"/>
      <c r="N39" s="329">
        <f>H39*(F39/G39)</f>
        <v>486.68534802784228</v>
      </c>
      <c r="O39" s="688"/>
      <c r="P39" s="688"/>
      <c r="Q39" s="44"/>
      <c r="R39" s="44"/>
      <c r="S39" s="44"/>
      <c r="T39" s="696">
        <f t="shared" si="1"/>
        <v>0</v>
      </c>
      <c r="U39" s="45">
        <f t="shared" ref="U39:U41" si="4">P39</f>
        <v>0</v>
      </c>
      <c r="V39" s="492"/>
      <c r="X39" s="160">
        <f t="shared" si="2"/>
        <v>0</v>
      </c>
      <c r="Z39" s="3"/>
      <c r="AA39" s="3"/>
      <c r="AB39" s="3"/>
      <c r="AC39" s="3"/>
    </row>
    <row r="40" spans="1:29" ht="15.75" x14ac:dyDescent="0.25">
      <c r="A40" s="618" t="s">
        <v>282</v>
      </c>
      <c r="B40" s="52"/>
      <c r="C40" s="53"/>
      <c r="D40" s="52"/>
      <c r="E40" s="54"/>
      <c r="F40" s="52">
        <f>F38*I40</f>
        <v>4282.1639999999998</v>
      </c>
      <c r="G40" s="58">
        <v>6.2972999999999999</v>
      </c>
      <c r="H40" s="58">
        <f>'SALARIS CONVENI 2024'!$E$9</f>
        <v>3.5785687354988402</v>
      </c>
      <c r="I40" s="430">
        <v>0.4</v>
      </c>
      <c r="J40" s="56"/>
      <c r="K40" s="56"/>
      <c r="L40" s="328"/>
      <c r="M40" s="51"/>
      <c r="N40" s="329">
        <f>(F40*H40)/G40</f>
        <v>2433.4267401392112</v>
      </c>
      <c r="O40" s="688"/>
      <c r="P40" s="688"/>
      <c r="Q40" s="44"/>
      <c r="R40" s="44"/>
      <c r="S40" s="44"/>
      <c r="T40" s="696">
        <f t="shared" si="1"/>
        <v>0</v>
      </c>
      <c r="U40" s="45">
        <f t="shared" si="4"/>
        <v>0</v>
      </c>
      <c r="V40" s="492"/>
      <c r="X40" s="160">
        <f t="shared" si="2"/>
        <v>0</v>
      </c>
      <c r="Z40" s="3"/>
      <c r="AA40" s="3"/>
      <c r="AB40" s="3"/>
      <c r="AC40" s="3"/>
    </row>
    <row r="41" spans="1:29" ht="15.75" x14ac:dyDescent="0.25">
      <c r="A41" s="618" t="s">
        <v>296</v>
      </c>
      <c r="B41" s="52"/>
      <c r="C41" s="53"/>
      <c r="D41" s="52"/>
      <c r="E41" s="54"/>
      <c r="F41" s="52">
        <v>12</v>
      </c>
      <c r="G41" s="58">
        <v>6.2972999999999999</v>
      </c>
      <c r="H41" s="58">
        <v>289.06</v>
      </c>
      <c r="I41" s="430"/>
      <c r="J41" s="56"/>
      <c r="K41" s="56"/>
      <c r="L41" s="328"/>
      <c r="M41" s="51"/>
      <c r="N41" s="329">
        <f>F41*H41</f>
        <v>3468.7200000000003</v>
      </c>
      <c r="O41" s="688"/>
      <c r="P41" s="688"/>
      <c r="Q41" s="44"/>
      <c r="R41" s="44"/>
      <c r="S41" s="44"/>
      <c r="T41" s="696">
        <f t="shared" si="1"/>
        <v>0</v>
      </c>
      <c r="U41" s="45">
        <f t="shared" si="4"/>
        <v>0</v>
      </c>
      <c r="V41" s="492"/>
      <c r="X41" s="160">
        <f t="shared" si="2"/>
        <v>0</v>
      </c>
      <c r="Z41" s="3"/>
      <c r="AA41" s="3"/>
      <c r="AB41" s="3"/>
      <c r="AC41" s="3"/>
    </row>
    <row r="42" spans="1:29" ht="15.75" x14ac:dyDescent="0.25">
      <c r="A42" s="214" t="s">
        <v>470</v>
      </c>
      <c r="B42" s="52"/>
      <c r="C42" s="53" t="s">
        <v>16</v>
      </c>
      <c r="D42" s="52"/>
      <c r="E42" s="54"/>
      <c r="F42" s="52">
        <f>F38/12</f>
        <v>892.11749999999995</v>
      </c>
      <c r="G42" s="58">
        <f>F42/141.67</f>
        <v>6.2971518317216066</v>
      </c>
      <c r="H42" s="58"/>
      <c r="I42" s="430"/>
      <c r="J42" s="56"/>
      <c r="K42" s="56"/>
      <c r="L42" s="328"/>
      <c r="M42" s="51"/>
      <c r="N42" s="329">
        <f>(N30/12)</f>
        <v>2055.65</v>
      </c>
      <c r="O42" s="688"/>
      <c r="P42" s="688"/>
      <c r="Q42" s="44"/>
      <c r="R42" s="44"/>
      <c r="S42" s="44">
        <f>N42*G43</f>
        <v>12944.740162878521</v>
      </c>
      <c r="T42" s="696">
        <f t="shared" si="1"/>
        <v>4219.985293098398</v>
      </c>
      <c r="U42" s="45">
        <f>S42+T42</f>
        <v>17164.725455976921</v>
      </c>
      <c r="V42" s="492">
        <f>U42+U43+U44+U45</f>
        <v>21609.847012754271</v>
      </c>
      <c r="X42" s="160">
        <f t="shared" si="2"/>
        <v>17164.725455976921</v>
      </c>
      <c r="Z42" s="3"/>
      <c r="AA42" s="3"/>
      <c r="AB42" s="3"/>
      <c r="AC42" s="3"/>
    </row>
    <row r="43" spans="1:29" ht="15.75" x14ac:dyDescent="0.25">
      <c r="A43" s="214" t="s">
        <v>320</v>
      </c>
      <c r="B43" s="52"/>
      <c r="C43" s="53" t="s">
        <v>16</v>
      </c>
      <c r="D43" s="52"/>
      <c r="E43" s="54"/>
      <c r="F43" s="52">
        <v>1</v>
      </c>
      <c r="G43" s="58">
        <f>G42</f>
        <v>6.2971518317216066</v>
      </c>
      <c r="H43" s="58">
        <v>289</v>
      </c>
      <c r="I43" s="430"/>
      <c r="J43" s="56"/>
      <c r="K43" s="56"/>
      <c r="L43" s="328"/>
      <c r="M43" s="51"/>
      <c r="N43" s="329">
        <f>H43</f>
        <v>289</v>
      </c>
      <c r="O43" s="688"/>
      <c r="P43" s="688"/>
      <c r="Q43" s="44"/>
      <c r="R43" s="44"/>
      <c r="S43" s="44">
        <f>N43*G43</f>
        <v>1819.8768793675442</v>
      </c>
      <c r="T43" s="696">
        <f t="shared" si="1"/>
        <v>593.27986267381948</v>
      </c>
      <c r="U43" s="45">
        <f t="shared" ref="U43:U45" si="5">S43+T43</f>
        <v>2413.1567420413639</v>
      </c>
      <c r="V43" s="492"/>
      <c r="X43" s="160">
        <f t="shared" si="2"/>
        <v>2413.1567420413639</v>
      </c>
      <c r="Z43" s="3"/>
      <c r="AA43" s="3"/>
      <c r="AB43" s="3"/>
      <c r="AC43" s="3"/>
    </row>
    <row r="44" spans="1:29" ht="15.75" x14ac:dyDescent="0.25">
      <c r="A44" s="214" t="s">
        <v>321</v>
      </c>
      <c r="B44" s="52"/>
      <c r="C44" s="53" t="s">
        <v>16</v>
      </c>
      <c r="D44" s="52"/>
      <c r="E44" s="54"/>
      <c r="F44" s="52">
        <f>F42*I44</f>
        <v>178.42349999999999</v>
      </c>
      <c r="G44" s="58">
        <v>6.3</v>
      </c>
      <c r="H44" s="58">
        <f>'SALARIS CONVENI 2024'!$D$9</f>
        <v>1.4314274941995362</v>
      </c>
      <c r="I44" s="430">
        <v>0.2</v>
      </c>
      <c r="J44" s="56"/>
      <c r="K44" s="56"/>
      <c r="L44" s="328"/>
      <c r="M44" s="51"/>
      <c r="N44" s="329">
        <f>(H44*F44)/G44</f>
        <v>40.539730716081102</v>
      </c>
      <c r="O44" s="688"/>
      <c r="P44" s="271">
        <v>1552.2249999999999</v>
      </c>
      <c r="Q44" s="44"/>
      <c r="R44" s="44"/>
      <c r="S44" s="44">
        <f>N44*G44</f>
        <v>255.40030351131094</v>
      </c>
      <c r="T44" s="696">
        <f t="shared" si="1"/>
        <v>83.26049894468737</v>
      </c>
      <c r="U44" s="45">
        <f t="shared" si="5"/>
        <v>338.66080245599829</v>
      </c>
      <c r="V44" s="492"/>
      <c r="X44" s="160">
        <f t="shared" si="2"/>
        <v>338.66080245599829</v>
      </c>
      <c r="Z44" s="3"/>
      <c r="AA44" s="3"/>
      <c r="AB44" s="3"/>
      <c r="AC44" s="3"/>
    </row>
    <row r="45" spans="1:29" ht="15.75" x14ac:dyDescent="0.25">
      <c r="A45" s="214" t="s">
        <v>319</v>
      </c>
      <c r="B45" s="52"/>
      <c r="C45" s="53" t="s">
        <v>16</v>
      </c>
      <c r="D45" s="52"/>
      <c r="E45" s="54"/>
      <c r="F45" s="52">
        <f>F42*I45</f>
        <v>356.84699999999998</v>
      </c>
      <c r="G45" s="58">
        <f>G44</f>
        <v>6.3</v>
      </c>
      <c r="H45" s="58">
        <f>H40</f>
        <v>3.5785687354988402</v>
      </c>
      <c r="I45" s="430">
        <v>0.4</v>
      </c>
      <c r="J45" s="56"/>
      <c r="K45" s="56"/>
      <c r="L45" s="328"/>
      <c r="M45" s="51"/>
      <c r="N45" s="329">
        <f>(F45*H45)/G45</f>
        <v>202.69865358040548</v>
      </c>
      <c r="O45" s="688"/>
      <c r="P45" s="271">
        <v>7766.7293823529408</v>
      </c>
      <c r="Q45" s="44"/>
      <c r="R45" s="44"/>
      <c r="S45" s="44">
        <f>N45*G45</f>
        <v>1277.0015175565545</v>
      </c>
      <c r="T45" s="696">
        <f t="shared" si="1"/>
        <v>416.30249472343678</v>
      </c>
      <c r="U45" s="45">
        <f t="shared" si="5"/>
        <v>1693.3040122799912</v>
      </c>
      <c r="V45" s="492"/>
      <c r="X45" s="160">
        <f t="shared" si="2"/>
        <v>1693.3040122799912</v>
      </c>
      <c r="Z45" s="3"/>
      <c r="AA45" s="3"/>
      <c r="AB45" s="3"/>
      <c r="AC45" s="3"/>
    </row>
    <row r="46" spans="1:29" ht="15.75" x14ac:dyDescent="0.25">
      <c r="A46" s="215" t="s">
        <v>303</v>
      </c>
      <c r="B46" s="52"/>
      <c r="C46" s="444" t="s">
        <v>323</v>
      </c>
      <c r="D46" s="52"/>
      <c r="E46" s="54"/>
      <c r="F46" s="427">
        <v>10200</v>
      </c>
      <c r="G46" s="58">
        <f>F46/1700</f>
        <v>6</v>
      </c>
      <c r="H46" s="58"/>
      <c r="I46" s="430"/>
      <c r="J46" s="56"/>
      <c r="K46" s="56"/>
      <c r="L46" s="328"/>
      <c r="M46" s="51"/>
      <c r="N46" s="329">
        <v>24667.8</v>
      </c>
      <c r="O46" s="667">
        <f>N46+N47+N48+N49</f>
        <v>31056.632088167051</v>
      </c>
      <c r="P46" s="271">
        <f>O46</f>
        <v>31056.632088167051</v>
      </c>
      <c r="Q46" s="44"/>
      <c r="R46" s="44" t="s">
        <v>424</v>
      </c>
      <c r="S46" s="44">
        <f>P46*G46</f>
        <v>186339.7925290023</v>
      </c>
      <c r="T46" s="696">
        <f t="shared" si="1"/>
        <v>60746.772364454751</v>
      </c>
      <c r="U46" s="45">
        <f>SUM(S46:T46)</f>
        <v>247086.56489345705</v>
      </c>
      <c r="V46" s="492"/>
      <c r="X46" s="160">
        <f t="shared" si="2"/>
        <v>247086.56489345705</v>
      </c>
      <c r="Z46" s="3"/>
      <c r="AA46" s="3"/>
      <c r="AB46" s="3"/>
      <c r="AC46" s="3"/>
    </row>
    <row r="47" spans="1:29" ht="15.75" x14ac:dyDescent="0.25">
      <c r="A47" s="618" t="s">
        <v>293</v>
      </c>
      <c r="B47" s="52"/>
      <c r="C47" s="53"/>
      <c r="D47" s="52"/>
      <c r="E47" s="54"/>
      <c r="F47" s="52">
        <f>F46*I47</f>
        <v>2040</v>
      </c>
      <c r="G47" s="58"/>
      <c r="H47" s="58">
        <f>'SALARIS CONVENI 2024'!$D$9</f>
        <v>1.4314274941995362</v>
      </c>
      <c r="I47" s="430">
        <v>0.2</v>
      </c>
      <c r="J47" s="56"/>
      <c r="K47" s="56"/>
      <c r="L47" s="328"/>
      <c r="M47" s="51"/>
      <c r="N47" s="329">
        <f>(F47/6)*H47</f>
        <v>486.68534802784228</v>
      </c>
      <c r="O47" s="688"/>
      <c r="P47" s="688"/>
      <c r="Q47" s="44"/>
      <c r="R47" s="44"/>
      <c r="S47" s="44"/>
      <c r="T47" s="696">
        <f t="shared" si="1"/>
        <v>0</v>
      </c>
      <c r="U47" s="45">
        <f t="shared" ref="U47:U49" si="6">P47</f>
        <v>0</v>
      </c>
      <c r="V47" s="492"/>
      <c r="X47" s="160">
        <f t="shared" si="2"/>
        <v>0</v>
      </c>
      <c r="Z47" s="3"/>
      <c r="AA47" s="3"/>
      <c r="AB47" s="3"/>
      <c r="AC47" s="3"/>
    </row>
    <row r="48" spans="1:29" ht="15.75" x14ac:dyDescent="0.25">
      <c r="A48" s="618" t="s">
        <v>282</v>
      </c>
      <c r="B48" s="52"/>
      <c r="C48" s="53"/>
      <c r="D48" s="52"/>
      <c r="E48" s="54"/>
      <c r="F48" s="52">
        <f>F46*I48</f>
        <v>4080</v>
      </c>
      <c r="G48" s="58"/>
      <c r="H48" s="58">
        <f>'SALARIS CONVENI 2024'!$E$9</f>
        <v>3.5785687354988402</v>
      </c>
      <c r="I48" s="421">
        <v>0.4</v>
      </c>
      <c r="J48" s="56"/>
      <c r="K48" s="56"/>
      <c r="L48" s="328"/>
      <c r="M48" s="51"/>
      <c r="N48" s="329">
        <f>(F48/6)*H48</f>
        <v>2433.4267401392112</v>
      </c>
      <c r="O48" s="688"/>
      <c r="P48" s="688"/>
      <c r="Q48" s="44"/>
      <c r="R48" s="44"/>
      <c r="S48" s="44"/>
      <c r="T48" s="696">
        <f t="shared" si="1"/>
        <v>0</v>
      </c>
      <c r="U48" s="45">
        <f t="shared" si="6"/>
        <v>0</v>
      </c>
      <c r="V48" s="492"/>
      <c r="W48" s="20"/>
      <c r="X48" s="160">
        <f t="shared" si="2"/>
        <v>0</v>
      </c>
      <c r="Z48" s="3"/>
      <c r="AA48" s="3"/>
      <c r="AB48" s="3"/>
      <c r="AC48" s="3"/>
    </row>
    <row r="49" spans="1:29" ht="15.75" x14ac:dyDescent="0.25">
      <c r="A49" s="618" t="s">
        <v>296</v>
      </c>
      <c r="B49" s="52"/>
      <c r="C49" s="53"/>
      <c r="D49" s="52"/>
      <c r="E49" s="54"/>
      <c r="F49" s="52">
        <v>12</v>
      </c>
      <c r="G49" s="58"/>
      <c r="H49" s="58">
        <v>289.06</v>
      </c>
      <c r="I49" s="421"/>
      <c r="J49" s="56"/>
      <c r="K49" s="56"/>
      <c r="L49" s="328"/>
      <c r="M49" s="51"/>
      <c r="N49" s="329">
        <f>F49*H49</f>
        <v>3468.7200000000003</v>
      </c>
      <c r="O49" s="688"/>
      <c r="P49" s="688"/>
      <c r="Q49" s="44"/>
      <c r="R49" s="44"/>
      <c r="S49" s="44"/>
      <c r="T49" s="696">
        <f t="shared" si="1"/>
        <v>0</v>
      </c>
      <c r="U49" s="45">
        <f t="shared" si="6"/>
        <v>0</v>
      </c>
      <c r="V49" s="492"/>
      <c r="X49" s="160">
        <f t="shared" si="2"/>
        <v>0</v>
      </c>
      <c r="Z49" s="3"/>
      <c r="AA49" s="3"/>
      <c r="AB49" s="3"/>
      <c r="AC49" s="3"/>
    </row>
    <row r="50" spans="1:29" ht="15.75" x14ac:dyDescent="0.25">
      <c r="A50" s="214" t="s">
        <v>329</v>
      </c>
      <c r="B50" s="52"/>
      <c r="C50" s="53"/>
      <c r="D50" s="52"/>
      <c r="E50" s="54"/>
      <c r="F50" s="52">
        <f>(F46/12)</f>
        <v>850</v>
      </c>
      <c r="G50" s="58">
        <v>6</v>
      </c>
      <c r="H50" s="58"/>
      <c r="I50" s="421"/>
      <c r="J50" s="56"/>
      <c r="K50" s="56"/>
      <c r="L50" s="328"/>
      <c r="M50" s="51"/>
      <c r="N50" s="329">
        <f>N38/14</f>
        <v>1761.9857142857143</v>
      </c>
      <c r="O50" s="688"/>
      <c r="P50" s="271">
        <f>N50</f>
        <v>1761.9857142857143</v>
      </c>
      <c r="Q50" s="44"/>
      <c r="R50" s="44"/>
      <c r="S50" s="44">
        <f>P50*G50</f>
        <v>10571.914285714285</v>
      </c>
      <c r="T50" s="696">
        <f t="shared" si="1"/>
        <v>3446.4440571428572</v>
      </c>
      <c r="U50" s="45">
        <f>S50+T50</f>
        <v>14018.358342857142</v>
      </c>
      <c r="V50" s="492"/>
      <c r="W50" s="20">
        <f>U50+U51+U52+U53</f>
        <v>18253.354871569438</v>
      </c>
      <c r="X50" s="160">
        <f t="shared" si="2"/>
        <v>14018.358342857142</v>
      </c>
      <c r="Z50" s="3"/>
      <c r="AA50" s="3"/>
      <c r="AB50" s="3"/>
      <c r="AC50" s="3"/>
    </row>
    <row r="51" spans="1:29" ht="15.75" x14ac:dyDescent="0.25">
      <c r="A51" s="436" t="s">
        <v>293</v>
      </c>
      <c r="B51" s="47"/>
      <c r="C51" s="48"/>
      <c r="D51" s="47"/>
      <c r="E51" s="49"/>
      <c r="F51" s="47">
        <f>F50*I51</f>
        <v>170</v>
      </c>
      <c r="G51" s="246">
        <v>6</v>
      </c>
      <c r="H51" s="246">
        <v>1.43</v>
      </c>
      <c r="I51" s="445">
        <v>0.2</v>
      </c>
      <c r="J51" s="446"/>
      <c r="K51" s="446"/>
      <c r="L51" s="610"/>
      <c r="M51" s="51"/>
      <c r="N51" s="329">
        <f>(F51*H51)/G51</f>
        <v>40.516666666666666</v>
      </c>
      <c r="O51" s="688"/>
      <c r="P51" s="447">
        <f>$N$51</f>
        <v>40.516666666666666</v>
      </c>
      <c r="Q51" s="448"/>
      <c r="R51" s="448"/>
      <c r="S51" s="448">
        <f>P51*G51</f>
        <v>243.1</v>
      </c>
      <c r="T51" s="696">
        <f t="shared" si="1"/>
        <v>79.250600000000006</v>
      </c>
      <c r="U51" s="45">
        <f t="shared" ref="U51:U53" si="7">S51+T51</f>
        <v>322.35059999999999</v>
      </c>
      <c r="V51" s="492"/>
      <c r="X51" s="160">
        <f t="shared" si="2"/>
        <v>322.35059999999999</v>
      </c>
      <c r="Z51" s="3"/>
      <c r="AA51" s="3"/>
      <c r="AB51" s="3"/>
      <c r="AC51" s="3"/>
    </row>
    <row r="52" spans="1:29" ht="15.75" x14ac:dyDescent="0.25">
      <c r="A52" s="214" t="s">
        <v>319</v>
      </c>
      <c r="B52" s="52"/>
      <c r="C52" s="53"/>
      <c r="D52" s="52"/>
      <c r="E52" s="54"/>
      <c r="F52" s="52">
        <f>F50*40%</f>
        <v>340</v>
      </c>
      <c r="G52" s="58">
        <v>6</v>
      </c>
      <c r="H52" s="58">
        <f>'SALARIS CONVENI 2024'!$E$9</f>
        <v>3.5785687354988402</v>
      </c>
      <c r="I52" s="421"/>
      <c r="J52" s="56"/>
      <c r="K52" s="56"/>
      <c r="L52" s="328"/>
      <c r="M52" s="51"/>
      <c r="N52" s="329">
        <f>(F52*H52)/G52</f>
        <v>202.78556167826761</v>
      </c>
      <c r="O52" s="688"/>
      <c r="P52" s="689">
        <f>N52</f>
        <v>202.78556167826761</v>
      </c>
      <c r="Q52" s="247"/>
      <c r="R52" s="247"/>
      <c r="S52" s="247">
        <f>P52*G53</f>
        <v>1216.7133700696056</v>
      </c>
      <c r="T52" s="696">
        <f t="shared" si="1"/>
        <v>396.64855864269146</v>
      </c>
      <c r="U52" s="45">
        <f t="shared" si="7"/>
        <v>1613.361928712297</v>
      </c>
      <c r="V52" s="492"/>
      <c r="X52" s="160">
        <f t="shared" si="2"/>
        <v>1613.361928712297</v>
      </c>
    </row>
    <row r="53" spans="1:29" ht="15.75" x14ac:dyDescent="0.25">
      <c r="A53" s="232" t="s">
        <v>328</v>
      </c>
      <c r="B53" s="7"/>
      <c r="C53" s="7"/>
      <c r="D53" s="7"/>
      <c r="E53" s="7"/>
      <c r="F53" s="119">
        <v>1</v>
      </c>
      <c r="G53" s="457">
        <v>6</v>
      </c>
      <c r="H53" s="458">
        <v>289</v>
      </c>
      <c r="I53" s="7"/>
      <c r="J53" s="7"/>
      <c r="K53" s="7"/>
      <c r="L53" s="365"/>
      <c r="M53" s="7"/>
      <c r="N53" s="329">
        <f>H53</f>
        <v>289</v>
      </c>
      <c r="O53" s="688"/>
      <c r="P53" s="689">
        <f>N53</f>
        <v>289</v>
      </c>
      <c r="Q53" s="247"/>
      <c r="R53" s="247"/>
      <c r="S53" s="247">
        <f>G53*H53</f>
        <v>1734</v>
      </c>
      <c r="T53" s="696">
        <f t="shared" si="1"/>
        <v>565.28399999999999</v>
      </c>
      <c r="U53" s="45">
        <f t="shared" si="7"/>
        <v>2299.2840000000001</v>
      </c>
      <c r="V53" s="492"/>
      <c r="X53" s="160">
        <f t="shared" si="2"/>
        <v>2299.2840000000001</v>
      </c>
    </row>
    <row r="54" spans="1:29" x14ac:dyDescent="0.25">
      <c r="A54" s="395" t="s">
        <v>124</v>
      </c>
      <c r="B54" s="395"/>
      <c r="C54" s="395"/>
      <c r="D54" s="395"/>
      <c r="E54" s="395"/>
      <c r="F54" s="395"/>
      <c r="G54" s="395"/>
      <c r="H54" s="395"/>
      <c r="I54" s="395"/>
      <c r="J54" s="395"/>
      <c r="K54" s="395"/>
      <c r="L54" s="395"/>
      <c r="M54" s="395"/>
      <c r="N54" s="395"/>
      <c r="O54" s="395">
        <f>O26+O30+O38+O46</f>
        <v>122147.57725466143</v>
      </c>
      <c r="P54" s="395">
        <f>P25+P26+P30</f>
        <v>78762.34</v>
      </c>
      <c r="Q54" s="395"/>
      <c r="R54" s="395"/>
      <c r="S54" s="748">
        <f>SUM(S55:S62)</f>
        <v>362892.72063176474</v>
      </c>
      <c r="T54" s="395"/>
      <c r="U54" s="745">
        <f>SUM(U55:U67)</f>
        <v>484249.10011028667</v>
      </c>
      <c r="V54" s="653">
        <f>V25+U54</f>
        <v>484249.10011028667</v>
      </c>
      <c r="X54" s="160">
        <f t="shared" si="2"/>
        <v>484249.10011028667</v>
      </c>
      <c r="Z54" s="3"/>
      <c r="AA54" s="3"/>
      <c r="AB54" s="3"/>
      <c r="AC54" s="3"/>
    </row>
    <row r="55" spans="1:29" x14ac:dyDescent="0.25">
      <c r="A55" s="435" t="s">
        <v>304</v>
      </c>
      <c r="B55" s="404"/>
      <c r="C55" s="405"/>
      <c r="D55" s="404"/>
      <c r="E55" s="406"/>
      <c r="F55" s="404">
        <v>6800</v>
      </c>
      <c r="G55" s="434">
        <f>F55/1700</f>
        <v>4</v>
      </c>
      <c r="H55" s="434"/>
      <c r="I55" s="434"/>
      <c r="J55" s="408"/>
      <c r="K55" s="408"/>
      <c r="L55" s="409"/>
      <c r="M55" s="620">
        <v>26010.48</v>
      </c>
      <c r="N55" s="614">
        <f>N46</f>
        <v>24667.8</v>
      </c>
      <c r="O55" s="667">
        <f>N55+N56</f>
        <v>25782.84</v>
      </c>
      <c r="P55" s="412">
        <f>IF(M55&gt;O55,M55,O55)</f>
        <v>26010.48</v>
      </c>
      <c r="Q55" s="413"/>
      <c r="R55" s="413"/>
      <c r="S55" s="413">
        <v>105462.6</v>
      </c>
      <c r="T55" s="696">
        <f t="shared" si="1"/>
        <v>34380.8076</v>
      </c>
      <c r="U55" s="414">
        <f>SUM(S55:T55)</f>
        <v>139843.40760000001</v>
      </c>
      <c r="V55" s="492"/>
      <c r="X55" s="160">
        <f t="shared" si="2"/>
        <v>139843.40760000001</v>
      </c>
      <c r="Z55" s="3"/>
      <c r="AA55" s="3"/>
      <c r="AB55" s="3"/>
      <c r="AC55" s="3"/>
    </row>
    <row r="56" spans="1:29" ht="15.75" x14ac:dyDescent="0.25">
      <c r="A56" s="435" t="s">
        <v>301</v>
      </c>
      <c r="B56" s="404"/>
      <c r="C56" s="405"/>
      <c r="D56" s="404"/>
      <c r="E56" s="406"/>
      <c r="F56" s="404">
        <v>12</v>
      </c>
      <c r="G56" s="434">
        <v>1</v>
      </c>
      <c r="H56" s="407">
        <v>92.92</v>
      </c>
      <c r="I56" s="434"/>
      <c r="J56" s="408"/>
      <c r="K56" s="408"/>
      <c r="L56" s="409"/>
      <c r="M56" s="620">
        <v>37239.96</v>
      </c>
      <c r="N56" s="614">
        <f>F56*G56*H56</f>
        <v>1115.04</v>
      </c>
      <c r="O56" s="688"/>
      <c r="P56" s="688"/>
      <c r="Q56" s="413"/>
      <c r="R56" s="413"/>
      <c r="S56" s="413">
        <f>M56*G56</f>
        <v>37239.96</v>
      </c>
      <c r="T56" s="696">
        <f t="shared" si="1"/>
        <v>12140.22696</v>
      </c>
      <c r="U56" s="414">
        <f t="shared" ref="U56:U64" si="8">SUM(S56:T56)</f>
        <v>49380.186959999999</v>
      </c>
      <c r="V56" s="492"/>
      <c r="X56" s="160">
        <f t="shared" si="2"/>
        <v>49380.186959999999</v>
      </c>
      <c r="Z56" s="3"/>
      <c r="AA56" s="3"/>
      <c r="AB56" s="3"/>
      <c r="AC56" s="3"/>
    </row>
    <row r="57" spans="1:29" ht="15.75" x14ac:dyDescent="0.25">
      <c r="A57" s="214" t="s">
        <v>305</v>
      </c>
      <c r="B57" s="52"/>
      <c r="C57" s="53"/>
      <c r="D57" s="52"/>
      <c r="E57" s="54"/>
      <c r="F57" s="52">
        <v>1226.83</v>
      </c>
      <c r="G57" s="58">
        <f t="shared" ref="G57:G62" si="9">F57/1700</f>
        <v>0.72166470588235287</v>
      </c>
      <c r="H57" s="58"/>
      <c r="I57" s="58"/>
      <c r="J57" s="56"/>
      <c r="K57" s="56"/>
      <c r="L57" s="328"/>
      <c r="M57" s="670"/>
      <c r="N57" s="269">
        <v>24667.8</v>
      </c>
      <c r="O57" s="688"/>
      <c r="P57" s="665">
        <f>N57</f>
        <v>24667.8</v>
      </c>
      <c r="Q57" s="44"/>
      <c r="R57" s="44"/>
      <c r="S57" s="44">
        <f>P57*G57</f>
        <v>17801.880631764703</v>
      </c>
      <c r="T57" s="696">
        <f t="shared" si="1"/>
        <v>5803.4130859552934</v>
      </c>
      <c r="U57" s="414">
        <f t="shared" si="8"/>
        <v>23605.293717719996</v>
      </c>
      <c r="V57" s="492"/>
      <c r="X57" s="160">
        <f t="shared" si="2"/>
        <v>23605.293717719996</v>
      </c>
      <c r="Z57" s="3"/>
      <c r="AA57" s="3"/>
      <c r="AB57" s="3"/>
      <c r="AC57" s="3"/>
    </row>
    <row r="58" spans="1:29" x14ac:dyDescent="0.25">
      <c r="A58" s="214" t="s">
        <v>306</v>
      </c>
      <c r="B58" s="52"/>
      <c r="C58" s="53"/>
      <c r="D58" s="52"/>
      <c r="E58" s="54"/>
      <c r="F58" s="804">
        <f>1700*2</f>
        <v>3400</v>
      </c>
      <c r="G58" s="805">
        <v>2</v>
      </c>
      <c r="H58" s="58"/>
      <c r="I58" s="55"/>
      <c r="J58" s="56"/>
      <c r="K58" s="56"/>
      <c r="L58" s="328"/>
      <c r="M58" s="619">
        <v>22765.439999999999</v>
      </c>
      <c r="N58" s="269">
        <v>22319.08</v>
      </c>
      <c r="O58" s="667">
        <f>N58</f>
        <v>22319.08</v>
      </c>
      <c r="P58" s="271">
        <f>IF(M58&gt;O58,M58,O58)</f>
        <v>22765.439999999999</v>
      </c>
      <c r="Q58" s="44"/>
      <c r="R58" s="44"/>
      <c r="S58" s="44">
        <f>P58*G58</f>
        <v>45530.879999999997</v>
      </c>
      <c r="T58" s="696">
        <f t="shared" si="1"/>
        <v>14843.06688</v>
      </c>
      <c r="U58" s="414">
        <f t="shared" si="8"/>
        <v>60373.946879999996</v>
      </c>
      <c r="V58" s="492"/>
      <c r="X58" s="160">
        <f t="shared" si="2"/>
        <v>60373.946879999996</v>
      </c>
      <c r="Z58" s="3"/>
      <c r="AA58" s="3"/>
      <c r="AB58" s="3"/>
      <c r="AC58" s="3"/>
    </row>
    <row r="59" spans="1:29" x14ac:dyDescent="0.25">
      <c r="A59" s="214" t="s">
        <v>307</v>
      </c>
      <c r="B59" s="52"/>
      <c r="C59" s="53"/>
      <c r="D59" s="52"/>
      <c r="E59" s="54"/>
      <c r="F59" s="52">
        <v>3400</v>
      </c>
      <c r="G59" s="58">
        <f t="shared" si="9"/>
        <v>2</v>
      </c>
      <c r="H59" s="58"/>
      <c r="I59" s="55"/>
      <c r="J59" s="56"/>
      <c r="K59" s="56"/>
      <c r="L59" s="328"/>
      <c r="M59" s="615">
        <v>29299.08</v>
      </c>
      <c r="N59" s="269">
        <v>24667.8</v>
      </c>
      <c r="O59" s="667">
        <f>N59</f>
        <v>24667.8</v>
      </c>
      <c r="P59" s="271">
        <f>IF(M59&gt;O59,M59,O59)</f>
        <v>29299.08</v>
      </c>
      <c r="Q59" s="44"/>
      <c r="R59" s="44"/>
      <c r="S59" s="44">
        <f>P59*G59</f>
        <v>58598.16</v>
      </c>
      <c r="T59" s="696">
        <f t="shared" si="1"/>
        <v>19103.000160000003</v>
      </c>
      <c r="U59" s="414">
        <f t="shared" si="8"/>
        <v>77701.160159999999</v>
      </c>
      <c r="V59" s="492"/>
      <c r="X59" s="160">
        <f t="shared" si="2"/>
        <v>77701.160159999999</v>
      </c>
      <c r="Z59" s="3"/>
      <c r="AA59" s="3"/>
      <c r="AB59" s="3"/>
      <c r="AC59" s="3"/>
    </row>
    <row r="60" spans="1:29" x14ac:dyDescent="0.25">
      <c r="A60" s="214" t="s">
        <v>308</v>
      </c>
      <c r="B60" s="52"/>
      <c r="C60" s="53"/>
      <c r="D60" s="52"/>
      <c r="E60" s="54"/>
      <c r="F60" s="52">
        <v>1700</v>
      </c>
      <c r="G60" s="58">
        <f t="shared" si="9"/>
        <v>1</v>
      </c>
      <c r="H60" s="58"/>
      <c r="I60" s="55"/>
      <c r="J60" s="56"/>
      <c r="K60" s="56"/>
      <c r="L60" s="328"/>
      <c r="M60" s="615">
        <v>29299.08</v>
      </c>
      <c r="N60" s="269">
        <v>24667.8</v>
      </c>
      <c r="O60" s="667">
        <v>29299.08</v>
      </c>
      <c r="P60" s="271">
        <f>IF(M60&gt;O60,M60,O60)</f>
        <v>29299.08</v>
      </c>
      <c r="Q60" s="44"/>
      <c r="R60" s="44"/>
      <c r="S60" s="44">
        <f t="shared" ref="S60:S61" si="10">P60*G60</f>
        <v>29299.08</v>
      </c>
      <c r="T60" s="696">
        <f t="shared" si="1"/>
        <v>9551.5000800000016</v>
      </c>
      <c r="U60" s="414">
        <f t="shared" si="8"/>
        <v>38850.58008</v>
      </c>
      <c r="V60" s="492"/>
      <c r="X60" s="160">
        <f t="shared" si="2"/>
        <v>38850.58008</v>
      </c>
      <c r="Z60" s="3"/>
      <c r="AA60" s="3"/>
      <c r="AB60" s="3"/>
      <c r="AC60" s="3"/>
    </row>
    <row r="61" spans="1:29" x14ac:dyDescent="0.25">
      <c r="A61" s="436" t="s">
        <v>309</v>
      </c>
      <c r="B61" s="47"/>
      <c r="C61" s="48"/>
      <c r="D61" s="47">
        <v>7.56</v>
      </c>
      <c r="E61" s="49">
        <v>37.799999999999997</v>
      </c>
      <c r="F61" s="47">
        <v>3400</v>
      </c>
      <c r="G61" s="246">
        <f t="shared" si="9"/>
        <v>2</v>
      </c>
      <c r="H61" s="246"/>
      <c r="I61" s="246"/>
      <c r="J61" s="50"/>
      <c r="K61" s="50"/>
      <c r="L61" s="610"/>
      <c r="M61" s="619">
        <v>24149.52</v>
      </c>
      <c r="N61" s="269">
        <v>22319</v>
      </c>
      <c r="O61" s="667">
        <v>22765.439999999999</v>
      </c>
      <c r="P61" s="271">
        <f>IF(M61&gt;O61,M61,O61)</f>
        <v>24149.52</v>
      </c>
      <c r="Q61" s="247">
        <f>IF(L61&gt;P61,L61,P61)</f>
        <v>24149.52</v>
      </c>
      <c r="R61" s="677"/>
      <c r="S61" s="44">
        <f t="shared" si="10"/>
        <v>48299.040000000001</v>
      </c>
      <c r="T61" s="696">
        <f t="shared" si="1"/>
        <v>15745.48704</v>
      </c>
      <c r="U61" s="414">
        <f t="shared" si="8"/>
        <v>64044.527040000001</v>
      </c>
      <c r="V61" s="492"/>
      <c r="X61" s="160">
        <f t="shared" si="2"/>
        <v>64044.527040000001</v>
      </c>
      <c r="Z61" s="3"/>
      <c r="AA61" s="3"/>
      <c r="AB61" s="3"/>
      <c r="AC61" s="3"/>
    </row>
    <row r="62" spans="1:29" x14ac:dyDescent="0.25">
      <c r="A62" s="436" t="s">
        <v>310</v>
      </c>
      <c r="B62" s="47"/>
      <c r="C62" s="48"/>
      <c r="D62" s="47"/>
      <c r="E62" s="49"/>
      <c r="F62" s="47">
        <v>1700</v>
      </c>
      <c r="G62" s="246">
        <f t="shared" si="9"/>
        <v>1</v>
      </c>
      <c r="H62" s="246"/>
      <c r="I62" s="246"/>
      <c r="J62" s="50"/>
      <c r="K62" s="50"/>
      <c r="L62" s="610"/>
      <c r="M62" s="615">
        <v>20661.12</v>
      </c>
      <c r="N62" s="269">
        <v>19546.099999999999</v>
      </c>
      <c r="O62" s="667">
        <f>N62+N64+N63</f>
        <v>20350.659266241299</v>
      </c>
      <c r="P62" s="271">
        <f>IF(M62&gt;O62,M62,O62)</f>
        <v>20661.12</v>
      </c>
      <c r="Q62" s="247"/>
      <c r="R62" s="677"/>
      <c r="S62" s="677">
        <f>P62</f>
        <v>20661.12</v>
      </c>
      <c r="T62" s="696">
        <f t="shared" si="1"/>
        <v>6735.5251200000002</v>
      </c>
      <c r="U62" s="414">
        <f t="shared" si="8"/>
        <v>27396.645120000001</v>
      </c>
      <c r="V62" s="492"/>
      <c r="X62" s="160">
        <f t="shared" si="2"/>
        <v>27396.645120000001</v>
      </c>
      <c r="Z62" s="3"/>
      <c r="AA62" s="3"/>
      <c r="AB62" s="3"/>
      <c r="AC62" s="3"/>
    </row>
    <row r="63" spans="1:29" ht="15.75" x14ac:dyDescent="0.25">
      <c r="A63" s="690" t="s">
        <v>293</v>
      </c>
      <c r="B63" s="47"/>
      <c r="C63" s="48"/>
      <c r="D63" s="47"/>
      <c r="E63" s="49"/>
      <c r="F63" s="47">
        <f>F62*I63</f>
        <v>340</v>
      </c>
      <c r="H63" s="246">
        <f>'SALARIS CONVENI 2024'!$D$12</f>
        <v>1.1337645011600928</v>
      </c>
      <c r="I63" s="445">
        <v>0.2</v>
      </c>
      <c r="J63" s="50"/>
      <c r="K63" s="50"/>
      <c r="L63" s="610"/>
      <c r="M63" s="615"/>
      <c r="N63" s="269">
        <f>F63*H63</f>
        <v>385.47993039443156</v>
      </c>
      <c r="O63" s="268"/>
      <c r="P63" s="688"/>
      <c r="Q63" s="247"/>
      <c r="R63" s="677"/>
      <c r="S63" s="677">
        <f>N63</f>
        <v>385.47993039443156</v>
      </c>
      <c r="T63" s="696">
        <f t="shared" si="1"/>
        <v>125.6664573085847</v>
      </c>
      <c r="U63" s="414">
        <f t="shared" si="8"/>
        <v>511.14638770301627</v>
      </c>
      <c r="V63" s="492"/>
      <c r="X63" s="160">
        <f t="shared" si="2"/>
        <v>511.14638770301627</v>
      </c>
      <c r="Z63" s="3"/>
      <c r="AA63" s="3"/>
      <c r="AB63" s="3"/>
      <c r="AC63" s="3"/>
    </row>
    <row r="64" spans="1:29" ht="15.75" x14ac:dyDescent="0.25">
      <c r="A64" s="690" t="s">
        <v>416</v>
      </c>
      <c r="B64" s="47"/>
      <c r="C64" s="48"/>
      <c r="D64" s="47"/>
      <c r="E64" s="49"/>
      <c r="F64" s="47">
        <f>(F62*I64)*0.25</f>
        <v>170</v>
      </c>
      <c r="H64" s="246">
        <f>'SALARIS CONVENI 2024'!$E$13</f>
        <v>2.4651725638051047</v>
      </c>
      <c r="I64" s="445">
        <v>0.4</v>
      </c>
      <c r="J64" s="50"/>
      <c r="K64" s="50"/>
      <c r="L64" s="610"/>
      <c r="M64" s="615"/>
      <c r="N64" s="269">
        <f>F64*H64</f>
        <v>419.07933584686782</v>
      </c>
      <c r="O64" s="268"/>
      <c r="P64" s="688"/>
      <c r="Q64" s="247"/>
      <c r="R64" s="677"/>
      <c r="S64" s="677">
        <f>N64</f>
        <v>419.07933584686782</v>
      </c>
      <c r="T64" s="696">
        <f t="shared" si="1"/>
        <v>136.61986348607891</v>
      </c>
      <c r="U64" s="414">
        <f t="shared" si="8"/>
        <v>555.6991993329467</v>
      </c>
      <c r="V64" s="492"/>
      <c r="X64" s="160">
        <f t="shared" si="2"/>
        <v>555.6991993329467</v>
      </c>
      <c r="Z64" s="3"/>
      <c r="AA64" s="3"/>
      <c r="AB64" s="3"/>
      <c r="AC64" s="3"/>
    </row>
    <row r="65" spans="1:29" x14ac:dyDescent="0.25">
      <c r="A65" s="436" t="s">
        <v>473</v>
      </c>
      <c r="B65" s="47"/>
      <c r="C65" s="464"/>
      <c r="D65" s="47"/>
      <c r="E65" s="49"/>
      <c r="F65" s="47">
        <f>F62/12</f>
        <v>141.66666666666666</v>
      </c>
      <c r="G65" s="246">
        <v>1</v>
      </c>
      <c r="H65" s="246"/>
      <c r="I65" s="246"/>
      <c r="J65" s="50"/>
      <c r="K65" s="50"/>
      <c r="L65" s="51"/>
      <c r="M65" s="51"/>
      <c r="N65" s="269">
        <f>(N62/14)</f>
        <v>1396.1499999999999</v>
      </c>
      <c r="O65" s="268"/>
      <c r="P65" s="271"/>
      <c r="Q65" s="247"/>
      <c r="R65" s="677"/>
      <c r="S65" s="677">
        <f>N65</f>
        <v>1396.1499999999999</v>
      </c>
      <c r="T65" s="696">
        <f t="shared" si="1"/>
        <v>455.14489999999995</v>
      </c>
      <c r="U65" s="414">
        <f>SUM(S65:T65)</f>
        <v>1851.2948999999999</v>
      </c>
      <c r="V65" s="492"/>
      <c r="X65" s="160">
        <f t="shared" si="2"/>
        <v>1851.2948999999999</v>
      </c>
      <c r="Z65" s="3"/>
      <c r="AA65" s="3"/>
      <c r="AB65" s="3"/>
      <c r="AC65" s="3"/>
    </row>
    <row r="66" spans="1:29" x14ac:dyDescent="0.25">
      <c r="A66" s="436" t="s">
        <v>293</v>
      </c>
      <c r="B66" s="47"/>
      <c r="C66" s="464"/>
      <c r="D66" s="47"/>
      <c r="E66" s="49"/>
      <c r="F66" s="47">
        <f>F63/12</f>
        <v>28.333333333333332</v>
      </c>
      <c r="G66" s="246"/>
      <c r="H66" s="246">
        <f>H63</f>
        <v>1.1337645011600928</v>
      </c>
      <c r="I66" s="246"/>
      <c r="J66" s="50"/>
      <c r="K66" s="50"/>
      <c r="L66" s="51"/>
      <c r="M66" s="51"/>
      <c r="N66" s="269">
        <f>F66*H66</f>
        <v>32.12332753286929</v>
      </c>
      <c r="O66" s="268"/>
      <c r="P66" s="271"/>
      <c r="Q66" s="247"/>
      <c r="R66" s="677"/>
      <c r="S66" s="677">
        <v>32.12332753286929</v>
      </c>
      <c r="T66" s="696">
        <f t="shared" si="1"/>
        <v>10.472204775715388</v>
      </c>
      <c r="U66" s="414">
        <f t="shared" ref="U66:U67" si="11">SUM(S66:T66)</f>
        <v>42.59553230858468</v>
      </c>
      <c r="V66" s="492"/>
      <c r="X66" s="160"/>
      <c r="Z66" s="3"/>
      <c r="AA66" s="3"/>
      <c r="AB66" s="3"/>
      <c r="AC66" s="3"/>
    </row>
    <row r="67" spans="1:29" x14ac:dyDescent="0.25">
      <c r="A67" s="436" t="s">
        <v>319</v>
      </c>
      <c r="B67" s="47"/>
      <c r="C67" s="464"/>
      <c r="D67" s="47"/>
      <c r="E67" s="49"/>
      <c r="F67" s="47">
        <f>F63/12</f>
        <v>28.333333333333332</v>
      </c>
      <c r="G67" s="246"/>
      <c r="H67" s="246">
        <f>H64</f>
        <v>2.4651725638051047</v>
      </c>
      <c r="I67" s="246"/>
      <c r="J67" s="50"/>
      <c r="K67" s="50"/>
      <c r="L67" s="51"/>
      <c r="M67" s="51"/>
      <c r="N67" s="269">
        <f>F67*H67</f>
        <v>69.846555974477965</v>
      </c>
      <c r="O67" s="268"/>
      <c r="P67" s="271"/>
      <c r="Q67" s="247"/>
      <c r="R67" s="677"/>
      <c r="S67" s="677">
        <v>69.846555974477965</v>
      </c>
      <c r="T67" s="696">
        <f t="shared" si="1"/>
        <v>22.769977247679819</v>
      </c>
      <c r="U67" s="414">
        <f t="shared" si="11"/>
        <v>92.616533222157784</v>
      </c>
      <c r="V67" s="492"/>
      <c r="X67" s="160"/>
      <c r="Z67" s="3"/>
      <c r="AA67" s="3"/>
      <c r="AB67" s="3"/>
      <c r="AC67" s="3"/>
    </row>
    <row r="68" spans="1:29" x14ac:dyDescent="0.25">
      <c r="A68" s="731" t="s">
        <v>314</v>
      </c>
      <c r="B68" s="731"/>
      <c r="C68" s="731"/>
      <c r="D68" s="731"/>
      <c r="E68" s="731"/>
      <c r="F68" s="731"/>
      <c r="G68" s="731"/>
      <c r="H68" s="731"/>
      <c r="I68" s="731"/>
      <c r="J68" s="731"/>
      <c r="K68" s="731"/>
      <c r="L68" s="731"/>
      <c r="M68" s="731"/>
      <c r="N68" s="731"/>
      <c r="O68" s="731">
        <f>SUM(O58:O65)</f>
        <v>119402.05926624131</v>
      </c>
      <c r="P68" s="731">
        <f>SUM(P57:P62)</f>
        <v>150842.04</v>
      </c>
      <c r="Q68" s="731"/>
      <c r="R68" s="731"/>
      <c r="S68" s="725">
        <f>S69</f>
        <v>39092</v>
      </c>
      <c r="T68" s="731">
        <f t="shared" si="1"/>
        <v>12743.992</v>
      </c>
      <c r="U68" s="860">
        <f>SUM(U69)</f>
        <v>51835.991999999998</v>
      </c>
      <c r="V68" s="654">
        <f>V54+U68</f>
        <v>536085.0921102867</v>
      </c>
      <c r="X68" s="160">
        <f t="shared" si="2"/>
        <v>51835.991999999998</v>
      </c>
      <c r="Z68" s="3"/>
      <c r="AA68" s="3"/>
      <c r="AB68" s="3"/>
      <c r="AC68" s="3"/>
    </row>
    <row r="69" spans="1:29" ht="15.75" thickBot="1" x14ac:dyDescent="0.3">
      <c r="A69" s="481" t="s">
        <v>315</v>
      </c>
      <c r="B69" s="736"/>
      <c r="C69" s="737"/>
      <c r="D69" s="736"/>
      <c r="E69" s="738"/>
      <c r="F69" s="736">
        <v>3400</v>
      </c>
      <c r="G69" s="739">
        <f>F69/1700</f>
        <v>2</v>
      </c>
      <c r="H69" s="739"/>
      <c r="I69" s="740"/>
      <c r="J69" s="741"/>
      <c r="K69" s="741"/>
      <c r="L69" s="742"/>
      <c r="M69" s="742"/>
      <c r="N69" s="614">
        <v>19546</v>
      </c>
      <c r="O69" s="614"/>
      <c r="P69" s="743"/>
      <c r="Q69" s="744"/>
      <c r="R69" s="750">
        <f>(R21+R26+R38+R54+R68)/5</f>
        <v>0.14221851730477114</v>
      </c>
      <c r="S69" s="751">
        <f>N69*G69</f>
        <v>39092</v>
      </c>
      <c r="T69" s="751">
        <f>S69*B12</f>
        <v>12743.992</v>
      </c>
      <c r="U69" s="751">
        <f>S69+T69</f>
        <v>51835.991999999998</v>
      </c>
      <c r="V69" s="492"/>
      <c r="X69" s="160">
        <v>51835.991999999998</v>
      </c>
      <c r="Z69" s="3"/>
      <c r="AA69" s="3"/>
      <c r="AB69" s="3"/>
      <c r="AC69" s="3"/>
    </row>
    <row r="70" spans="1:29" ht="28.5" customHeight="1" thickBot="1" x14ac:dyDescent="0.3">
      <c r="A70" s="225" t="s">
        <v>44</v>
      </c>
      <c r="B70" s="732"/>
      <c r="C70" s="732"/>
      <c r="D70" s="732"/>
      <c r="E70" s="733" t="e">
        <f>(E20+#REF!+E61)/5</f>
        <v>#REF!</v>
      </c>
      <c r="F70" s="734">
        <f>SUM(F20:F69)</f>
        <v>175206.74066666668</v>
      </c>
      <c r="G70" s="735">
        <f>G21+G26+G30+G34+G38+G46+G50</f>
        <v>90.515165985582769</v>
      </c>
      <c r="H70" s="733"/>
      <c r="I70" s="733"/>
      <c r="J70" s="336"/>
      <c r="K70" s="336"/>
      <c r="L70" s="333">
        <f>SUM(L20:L61)</f>
        <v>0</v>
      </c>
      <c r="M70" s="333"/>
      <c r="N70" s="333">
        <f>SUM(N20:N61)</f>
        <v>311619.39220756531</v>
      </c>
      <c r="O70" s="333"/>
      <c r="P70" s="337">
        <f>SUM(P20:P69)</f>
        <v>631069.44380375918</v>
      </c>
      <c r="Q70" s="679">
        <f>SUM(Q20:Q61)</f>
        <v>24149.52</v>
      </c>
      <c r="R70" s="752"/>
      <c r="S70" s="753">
        <f>S68+S54+S25+S20</f>
        <v>2265711.8902080748</v>
      </c>
      <c r="T70" s="754">
        <f>SUM(T21:T65)</f>
        <v>726595.51542862714</v>
      </c>
      <c r="U70" s="859">
        <f>S70+T70</f>
        <v>2992307.4056367017</v>
      </c>
      <c r="V70" s="655">
        <f>U68+U54+U25+U20</f>
        <v>3007387.3189684735</v>
      </c>
      <c r="W70" s="20"/>
      <c r="X70" s="577">
        <f>SUM(X21:X69)</f>
        <v>3543337.1990132304</v>
      </c>
      <c r="Y70" s="571"/>
      <c r="Z70" s="67"/>
      <c r="AA70" s="67"/>
      <c r="AB70" s="67"/>
      <c r="AC70" s="67"/>
    </row>
    <row r="71" spans="1:29" s="2" customFormat="1" ht="12.6" customHeight="1" thickBot="1" x14ac:dyDescent="0.3">
      <c r="A71" s="226"/>
      <c r="B71" s="68"/>
      <c r="C71" s="68"/>
      <c r="D71" s="68"/>
      <c r="E71" s="69"/>
      <c r="F71" s="70"/>
      <c r="G71" s="71"/>
      <c r="H71" s="69"/>
      <c r="I71" s="69"/>
      <c r="J71" s="72"/>
      <c r="K71" s="72"/>
      <c r="L71" s="73"/>
      <c r="M71" s="73"/>
      <c r="N71" s="73"/>
      <c r="O71" s="73"/>
      <c r="P71" s="74"/>
      <c r="Q71" s="75"/>
      <c r="R71" s="678"/>
      <c r="S71" s="678"/>
      <c r="T71" s="678"/>
      <c r="U71" s="248"/>
      <c r="V71" s="90"/>
      <c r="X71" s="578"/>
      <c r="Z71" s="5"/>
      <c r="AA71" s="5"/>
      <c r="AB71" s="5"/>
      <c r="AC71" s="5"/>
    </row>
    <row r="72" spans="1:29" ht="30" customHeight="1" thickTop="1" thickBot="1" x14ac:dyDescent="0.3">
      <c r="A72" s="222" t="s">
        <v>45</v>
      </c>
      <c r="B72" s="59"/>
      <c r="C72" s="59"/>
      <c r="D72" s="59"/>
      <c r="E72" s="60"/>
      <c r="F72" s="76"/>
      <c r="G72" s="62"/>
      <c r="H72" s="60"/>
      <c r="I72" s="60"/>
      <c r="J72" s="63"/>
      <c r="K72" s="334"/>
      <c r="L72" s="332"/>
      <c r="M72" s="332"/>
      <c r="N72" s="332"/>
      <c r="O72" s="332"/>
      <c r="P72" s="335"/>
      <c r="Q72" s="66"/>
      <c r="R72" s="679"/>
      <c r="S72" s="679"/>
      <c r="T72" s="679"/>
      <c r="U72" s="77" t="s">
        <v>46</v>
      </c>
      <c r="V72" s="90"/>
      <c r="X72" s="577"/>
      <c r="Y72" s="571"/>
      <c r="Z72" s="67"/>
      <c r="AA72" s="67"/>
      <c r="AB72" s="67"/>
      <c r="AC72" s="67"/>
    </row>
    <row r="73" spans="1:29" ht="14.45" customHeight="1" x14ac:dyDescent="0.25">
      <c r="A73" s="227" t="s">
        <v>17</v>
      </c>
      <c r="B73" s="79">
        <v>5.2299999999999999E-2</v>
      </c>
      <c r="C73" s="7"/>
      <c r="D73" s="78"/>
      <c r="E73" s="78"/>
      <c r="F73" s="78"/>
      <c r="G73" s="78"/>
      <c r="H73" s="78"/>
      <c r="I73" s="78"/>
      <c r="J73" s="338"/>
      <c r="K73" s="78"/>
      <c r="L73" s="80">
        <f>P70</f>
        <v>631069.44380375918</v>
      </c>
      <c r="M73" s="80"/>
      <c r="N73" s="330"/>
      <c r="O73" s="330"/>
      <c r="P73" s="749">
        <f>S70</f>
        <v>2265711.8902080748</v>
      </c>
      <c r="Q73" s="339" t="e">
        <f>B73*#REF!</f>
        <v>#REF!</v>
      </c>
      <c r="R73" s="339"/>
      <c r="S73" s="339">
        <f>P73*B73</f>
        <v>118496.73185788232</v>
      </c>
      <c r="T73" s="339">
        <f>S73*32.5%</f>
        <v>38511.437853811753</v>
      </c>
      <c r="U73" s="81">
        <f>SUM(S73:T73)</f>
        <v>157008.16971169406</v>
      </c>
      <c r="V73" s="110"/>
      <c r="W73" s="17"/>
      <c r="X73" s="81"/>
      <c r="Z73" s="3"/>
      <c r="AA73" s="3"/>
      <c r="AB73" s="3"/>
      <c r="AC73" s="3"/>
    </row>
    <row r="74" spans="1:29" x14ac:dyDescent="0.25">
      <c r="A74" s="227" t="s">
        <v>18</v>
      </c>
      <c r="B74" s="79">
        <v>2.1499999999999998E-2</v>
      </c>
      <c r="C74" s="7"/>
      <c r="D74" s="78"/>
      <c r="E74" s="78"/>
      <c r="F74" s="78"/>
      <c r="G74" s="78"/>
      <c r="H74" s="78"/>
      <c r="I74" s="78"/>
      <c r="J74" s="338"/>
      <c r="K74" s="78"/>
      <c r="L74" s="80" t="e">
        <f>#REF!</f>
        <v>#REF!</v>
      </c>
      <c r="M74" s="80"/>
      <c r="N74" s="331"/>
      <c r="O74" s="331"/>
      <c r="P74" s="749">
        <f>S70</f>
        <v>2265711.8902080748</v>
      </c>
      <c r="Q74" s="339">
        <f>N74*B74</f>
        <v>0</v>
      </c>
      <c r="R74" s="339"/>
      <c r="S74" s="339">
        <f t="shared" ref="S74:S75" si="12">P74*B74</f>
        <v>48712.805639473605</v>
      </c>
      <c r="T74" s="339"/>
      <c r="U74" s="81">
        <f>S74+T74</f>
        <v>48712.805639473605</v>
      </c>
      <c r="V74" s="110"/>
      <c r="W74" s="82">
        <v>5105.0404010595685</v>
      </c>
      <c r="X74" s="81"/>
      <c r="Z74" s="3"/>
      <c r="AA74" s="3"/>
      <c r="AB74" s="3"/>
      <c r="AC74" s="3"/>
    </row>
    <row r="75" spans="1:29" ht="15.75" thickBot="1" x14ac:dyDescent="0.3">
      <c r="A75" s="227" t="s">
        <v>407</v>
      </c>
      <c r="B75" s="79">
        <v>7.6249999999999998E-2</v>
      </c>
      <c r="C75" s="7"/>
      <c r="D75" s="78"/>
      <c r="E75" s="84"/>
      <c r="F75" s="78"/>
      <c r="G75" s="78"/>
      <c r="H75" s="78"/>
      <c r="I75" s="78"/>
      <c r="J75" s="338"/>
      <c r="K75" s="78"/>
      <c r="L75" s="80" t="e">
        <f>#REF!</f>
        <v>#REF!</v>
      </c>
      <c r="M75" s="80"/>
      <c r="N75" s="331"/>
      <c r="O75" s="331"/>
      <c r="P75" s="749">
        <f>S70</f>
        <v>2265711.8902080748</v>
      </c>
      <c r="Q75" s="339">
        <f>N75*B75</f>
        <v>0</v>
      </c>
      <c r="R75" s="339"/>
      <c r="S75" s="339">
        <f t="shared" si="12"/>
        <v>172760.53162836572</v>
      </c>
      <c r="T75" s="339">
        <f>S75*32.5%</f>
        <v>56147.172779218861</v>
      </c>
      <c r="U75" s="81">
        <f>SUM(S75:T75)</f>
        <v>228907.70440758456</v>
      </c>
      <c r="V75" s="110"/>
      <c r="W75" s="82">
        <v>10461.148362826985</v>
      </c>
      <c r="X75" s="81"/>
      <c r="Z75" s="3"/>
      <c r="AA75" s="3"/>
      <c r="AB75" s="3"/>
      <c r="AC75" s="3"/>
    </row>
    <row r="76" spans="1:29" ht="24" customHeight="1" thickTop="1" thickBot="1" x14ac:dyDescent="0.3">
      <c r="A76" s="225" t="s">
        <v>47</v>
      </c>
      <c r="B76" s="86">
        <f>AVERAGE(B73:B75)</f>
        <v>5.0016666666666675E-2</v>
      </c>
      <c r="C76" s="59"/>
      <c r="D76" s="59"/>
      <c r="E76" s="60"/>
      <c r="F76" s="76"/>
      <c r="G76" s="62"/>
      <c r="H76" s="60"/>
      <c r="I76" s="60"/>
      <c r="J76" s="63"/>
      <c r="K76" s="336"/>
      <c r="L76" s="333" t="e">
        <f>SUM(L73:L75)</f>
        <v>#REF!</v>
      </c>
      <c r="M76" s="333"/>
      <c r="N76" s="333">
        <f>SUM(N73:N75)</f>
        <v>0</v>
      </c>
      <c r="O76" s="333"/>
      <c r="P76" s="337">
        <f>SUM(P73:P75)</f>
        <v>6797135.6706242245</v>
      </c>
      <c r="Q76" s="66" t="e">
        <f>SUM(Q73:Q75)</f>
        <v>#REF!</v>
      </c>
      <c r="R76" s="752"/>
      <c r="S76" s="757"/>
      <c r="T76" s="758"/>
      <c r="U76" s="756">
        <f>SUM(U73:U75)</f>
        <v>434628.67975875223</v>
      </c>
      <c r="V76" s="90">
        <f>V70+U76</f>
        <v>3442015.9987272257</v>
      </c>
      <c r="X76" s="579"/>
      <c r="Y76" s="572"/>
      <c r="Z76" s="88"/>
      <c r="AA76" s="88"/>
      <c r="AB76" s="88"/>
      <c r="AC76" s="88"/>
    </row>
    <row r="77" spans="1:29" ht="14.45" customHeight="1" thickBot="1" x14ac:dyDescent="0.3">
      <c r="A77" s="467"/>
      <c r="B77" s="468"/>
      <c r="C77" s="89"/>
      <c r="D77" s="89"/>
      <c r="E77" s="469"/>
      <c r="F77" s="470"/>
      <c r="G77" s="469"/>
      <c r="H77" s="469"/>
      <c r="I77" s="469"/>
      <c r="J77" s="471"/>
      <c r="K77" s="472"/>
      <c r="L77" s="473"/>
      <c r="M77" s="473"/>
      <c r="N77" s="473"/>
      <c r="O77" s="473"/>
      <c r="P77" s="473"/>
      <c r="Q77" s="75"/>
      <c r="R77" s="678"/>
      <c r="S77" s="678"/>
      <c r="T77" s="678"/>
      <c r="U77" s="90"/>
      <c r="V77" s="90"/>
      <c r="X77" s="579"/>
      <c r="Y77" s="572"/>
      <c r="Z77" s="88"/>
      <c r="AA77" s="88"/>
      <c r="AB77" s="88"/>
      <c r="AC77" s="88"/>
    </row>
    <row r="78" spans="1:29" ht="30" customHeight="1" thickTop="1" x14ac:dyDescent="0.25">
      <c r="A78" s="347" t="s">
        <v>48</v>
      </c>
      <c r="B78" s="348"/>
      <c r="C78" s="349"/>
      <c r="D78" s="350"/>
      <c r="E78" s="350" t="s">
        <v>312</v>
      </c>
      <c r="F78" s="350" t="s">
        <v>238</v>
      </c>
      <c r="G78" s="351" t="s">
        <v>49</v>
      </c>
      <c r="H78" s="351" t="s">
        <v>313</v>
      </c>
      <c r="I78" s="351"/>
      <c r="J78" s="350"/>
      <c r="K78" s="350"/>
      <c r="L78" s="350"/>
      <c r="M78" s="350"/>
      <c r="N78" s="350"/>
      <c r="O78" s="350"/>
      <c r="P78" s="350"/>
      <c r="Q78" s="350"/>
      <c r="R78" s="680"/>
      <c r="S78" s="680"/>
      <c r="T78" s="680"/>
      <c r="U78" s="352" t="s">
        <v>50</v>
      </c>
      <c r="V78" s="651"/>
      <c r="X78" s="7"/>
      <c r="Z78" s="3"/>
      <c r="AA78" s="3"/>
      <c r="AB78" s="3"/>
      <c r="AC78" s="3"/>
    </row>
    <row r="79" spans="1:29" s="2" customFormat="1" ht="30" customHeight="1" x14ac:dyDescent="0.25">
      <c r="A79" s="360" t="s">
        <v>311</v>
      </c>
      <c r="B79" s="358"/>
      <c r="C79" s="358"/>
      <c r="D79" s="358"/>
      <c r="E79" s="267">
        <v>8</v>
      </c>
      <c r="F79" s="267">
        <v>250</v>
      </c>
      <c r="G79" s="267">
        <v>23.25</v>
      </c>
      <c r="H79" s="267">
        <f>E79*G79</f>
        <v>186</v>
      </c>
      <c r="I79" s="359"/>
      <c r="J79" s="358"/>
      <c r="K79" s="358"/>
      <c r="L79" s="358"/>
      <c r="M79" s="358"/>
      <c r="N79" s="358"/>
      <c r="O79" s="358"/>
      <c r="P79" s="358"/>
      <c r="Q79" s="358"/>
      <c r="R79" s="358"/>
      <c r="S79" s="358"/>
      <c r="T79" s="358"/>
      <c r="U79" s="116">
        <f>F79*H79</f>
        <v>46500</v>
      </c>
      <c r="V79" s="99"/>
      <c r="X79" s="4"/>
      <c r="Z79" s="5"/>
      <c r="AA79" s="5"/>
      <c r="AB79" s="5"/>
      <c r="AC79" s="5"/>
    </row>
    <row r="80" spans="1:29" s="2" customFormat="1" ht="21.95" customHeight="1" x14ac:dyDescent="0.25">
      <c r="A80" s="360" t="s">
        <v>132</v>
      </c>
      <c r="B80" s="254"/>
      <c r="C80" s="254"/>
      <c r="D80" s="254"/>
      <c r="E80" s="278">
        <v>1</v>
      </c>
      <c r="F80" s="278">
        <v>800</v>
      </c>
      <c r="G80" s="361">
        <v>39</v>
      </c>
      <c r="H80" s="361">
        <f>G80</f>
        <v>39</v>
      </c>
      <c r="I80" s="279"/>
      <c r="J80" s="254"/>
      <c r="K80" s="254"/>
      <c r="L80" s="280"/>
      <c r="M80" s="280"/>
      <c r="N80" s="280"/>
      <c r="O80" s="280"/>
      <c r="P80" s="362"/>
      <c r="Q80" s="281">
        <f>F80*G80</f>
        <v>31200</v>
      </c>
      <c r="R80" s="281"/>
      <c r="S80" s="281"/>
      <c r="T80" s="281"/>
      <c r="U80" s="116">
        <f>H80*F80</f>
        <v>31200</v>
      </c>
      <c r="V80" s="99"/>
      <c r="X80" s="4"/>
      <c r="Z80" s="5"/>
      <c r="AA80" s="5"/>
      <c r="AB80" s="95">
        <f>U80</f>
        <v>31200</v>
      </c>
      <c r="AC80" s="96"/>
    </row>
    <row r="81" spans="1:29" s="2" customFormat="1" ht="21.95" customHeight="1" thickBot="1" x14ac:dyDescent="0.3">
      <c r="A81" s="277" t="s">
        <v>133</v>
      </c>
      <c r="B81" s="93"/>
      <c r="C81" s="93"/>
      <c r="D81" s="93"/>
      <c r="E81" s="94">
        <v>600</v>
      </c>
      <c r="F81" s="94">
        <v>400</v>
      </c>
      <c r="G81" s="255">
        <v>9.5000000000000001E-2</v>
      </c>
      <c r="H81" s="255">
        <f>F81*G81</f>
        <v>38</v>
      </c>
      <c r="I81" s="353"/>
      <c r="J81" s="93"/>
      <c r="K81" s="93"/>
      <c r="L81" s="354"/>
      <c r="M81" s="354"/>
      <c r="N81" s="354"/>
      <c r="O81" s="666"/>
      <c r="P81" s="355"/>
      <c r="Q81" s="356"/>
      <c r="R81" s="356"/>
      <c r="S81" s="356"/>
      <c r="T81" s="356"/>
      <c r="U81" s="357">
        <f>H81*E81</f>
        <v>22800</v>
      </c>
      <c r="V81" s="99"/>
      <c r="X81" s="4"/>
      <c r="Y81" s="2">
        <v>551.52</v>
      </c>
      <c r="Z81" s="5"/>
      <c r="AA81" s="5"/>
      <c r="AB81" s="95">
        <f>U81</f>
        <v>22800</v>
      </c>
      <c r="AC81" s="96"/>
    </row>
    <row r="82" spans="1:29" ht="24" customHeight="1" thickTop="1" thickBot="1" x14ac:dyDescent="0.3">
      <c r="A82" s="225" t="s">
        <v>51</v>
      </c>
      <c r="B82" s="274"/>
      <c r="C82" s="59"/>
      <c r="D82" s="59"/>
      <c r="E82" s="60"/>
      <c r="F82" s="76"/>
      <c r="G82" s="62"/>
      <c r="H82" s="60"/>
      <c r="I82" s="60"/>
      <c r="J82" s="63"/>
      <c r="K82" s="63"/>
      <c r="L82" s="64"/>
      <c r="M82" s="64"/>
      <c r="N82" s="64"/>
      <c r="O82" s="64"/>
      <c r="P82" s="65"/>
      <c r="Q82" s="275">
        <f>Q80</f>
        <v>31200</v>
      </c>
      <c r="R82" s="679"/>
      <c r="S82" s="679"/>
      <c r="T82" s="679"/>
      <c r="U82" s="493">
        <f>U79+U80+U81</f>
        <v>100500</v>
      </c>
      <c r="V82" s="90"/>
      <c r="X82" s="580"/>
      <c r="Y82" s="573"/>
      <c r="Z82" s="100"/>
      <c r="AA82" s="100"/>
      <c r="AB82" s="101">
        <f>SUM(AB80:AB81)</f>
        <v>54000</v>
      </c>
      <c r="AC82" s="87"/>
    </row>
    <row r="83" spans="1:29" s="2" customFormat="1" ht="16.5" customHeight="1" thickBot="1" x14ac:dyDescent="0.3">
      <c r="A83" s="273"/>
      <c r="B83" s="249"/>
      <c r="C83" s="249"/>
      <c r="D83" s="249"/>
      <c r="E83" s="250"/>
      <c r="F83" s="251"/>
      <c r="G83" s="252"/>
      <c r="H83" s="252"/>
      <c r="I83" s="249"/>
      <c r="J83" s="249"/>
      <c r="K83" s="249"/>
      <c r="L83" s="249"/>
      <c r="M83" s="249"/>
      <c r="N83" s="249"/>
      <c r="O83" s="249"/>
      <c r="P83" s="249"/>
      <c r="Q83" s="253"/>
      <c r="R83" s="681"/>
      <c r="S83" s="681"/>
      <c r="T83" s="681"/>
      <c r="U83" s="495"/>
      <c r="V83" s="634"/>
      <c r="X83" s="4"/>
      <c r="Z83" s="5"/>
      <c r="AA83" s="5"/>
      <c r="AB83" s="5"/>
      <c r="AC83" s="5"/>
    </row>
    <row r="84" spans="1:29" ht="30" customHeight="1" thickBot="1" x14ac:dyDescent="0.3">
      <c r="A84" s="228" t="s">
        <v>52</v>
      </c>
      <c r="B84" s="102"/>
      <c r="C84" s="103"/>
      <c r="D84" s="103"/>
      <c r="E84" s="103"/>
      <c r="F84" s="103"/>
      <c r="G84" s="103"/>
      <c r="H84" s="103"/>
      <c r="I84" s="103"/>
      <c r="J84" s="103"/>
      <c r="K84" s="103"/>
      <c r="L84" s="104"/>
      <c r="M84" s="104"/>
      <c r="N84" s="104"/>
      <c r="O84" s="104"/>
      <c r="P84" s="104"/>
      <c r="Q84" s="105" t="e">
        <f>#REF!+U82</f>
        <v>#REF!</v>
      </c>
      <c r="R84" s="682"/>
      <c r="S84" s="682"/>
      <c r="T84" s="682"/>
      <c r="U84" s="494">
        <f>U20+U25+U54+U68+U76+U82</f>
        <v>3542515.9987272262</v>
      </c>
      <c r="V84" s="109"/>
      <c r="W84" s="106"/>
      <c r="X84" s="581"/>
      <c r="Y84" s="574"/>
      <c r="Z84" s="92"/>
      <c r="AA84" s="92"/>
      <c r="AB84" s="107" t="e">
        <f>AB82+#REF!</f>
        <v>#REF!</v>
      </c>
      <c r="AC84" s="91"/>
    </row>
    <row r="85" spans="1:29" s="2" customFormat="1" ht="12.6" customHeight="1" x14ac:dyDescent="0.25">
      <c r="A85" s="229"/>
      <c r="B85" s="97"/>
      <c r="C85" s="97"/>
      <c r="D85" s="97"/>
      <c r="E85" s="97"/>
      <c r="F85" s="97"/>
      <c r="G85" s="97"/>
      <c r="H85" s="97"/>
      <c r="I85" s="97"/>
      <c r="J85" s="97"/>
      <c r="K85" s="97"/>
      <c r="L85" s="98"/>
      <c r="M85" s="98"/>
      <c r="N85" s="98"/>
      <c r="O85" s="98"/>
      <c r="P85" s="98"/>
      <c r="Q85" s="108"/>
      <c r="R85" s="108"/>
      <c r="S85" s="108"/>
      <c r="T85" s="108"/>
      <c r="U85" s="109"/>
      <c r="V85" s="109"/>
      <c r="W85" s="110"/>
      <c r="X85" s="8"/>
      <c r="AC85" s="110"/>
    </row>
    <row r="86" spans="1:29" ht="30" customHeight="1" x14ac:dyDescent="0.25">
      <c r="A86" s="230" t="s">
        <v>53</v>
      </c>
      <c r="B86" s="112"/>
      <c r="C86" s="112"/>
      <c r="D86" s="266" t="s">
        <v>237</v>
      </c>
      <c r="E86" s="266" t="s">
        <v>238</v>
      </c>
      <c r="F86" s="266" t="s">
        <v>239</v>
      </c>
      <c r="G86" s="266" t="s">
        <v>244</v>
      </c>
      <c r="H86" s="266"/>
      <c r="I86" s="112"/>
      <c r="J86" s="112"/>
      <c r="K86" s="112"/>
      <c r="L86" s="112"/>
      <c r="M86" s="112"/>
      <c r="N86" s="112"/>
      <c r="O86" s="112"/>
      <c r="P86" s="112"/>
      <c r="Q86" s="113"/>
      <c r="R86" s="113"/>
      <c r="S86" s="113"/>
      <c r="T86" s="113"/>
      <c r="U86" s="114" t="s">
        <v>54</v>
      </c>
      <c r="V86" s="656"/>
      <c r="X86" s="112"/>
      <c r="Y86" s="115"/>
      <c r="Z86" s="115"/>
      <c r="AA86" s="115"/>
      <c r="AB86" s="115"/>
      <c r="AC86" s="115"/>
    </row>
    <row r="87" spans="1:29" ht="14.45" customHeight="1" x14ac:dyDescent="0.25">
      <c r="A87" s="360" t="s">
        <v>401</v>
      </c>
      <c r="B87" s="474"/>
      <c r="C87" s="254"/>
      <c r="D87" s="254"/>
      <c r="E87" s="545">
        <v>4199</v>
      </c>
      <c r="F87" s="479"/>
      <c r="G87" s="546">
        <v>23.17</v>
      </c>
      <c r="H87" s="478"/>
      <c r="I87" s="478"/>
      <c r="J87" s="480"/>
      <c r="K87" s="475"/>
      <c r="L87" s="476"/>
      <c r="M87" s="476"/>
      <c r="N87" s="476"/>
      <c r="O87" s="476"/>
      <c r="P87" s="476"/>
      <c r="Q87" s="477"/>
      <c r="R87" s="477"/>
      <c r="S87" s="477"/>
      <c r="T87" s="477"/>
      <c r="U87" s="8">
        <f>E87*G87</f>
        <v>97290.83</v>
      </c>
      <c r="V87" s="110"/>
      <c r="X87" s="579"/>
      <c r="Y87" s="572"/>
      <c r="Z87" s="88"/>
      <c r="AA87" s="88"/>
      <c r="AB87" s="88"/>
      <c r="AC87" s="88"/>
    </row>
    <row r="88" spans="1:29" s="19" customFormat="1" ht="14.45" customHeight="1" x14ac:dyDescent="0.25">
      <c r="A88" s="768" t="s">
        <v>402</v>
      </c>
      <c r="B88" s="598"/>
      <c r="C88" s="599"/>
      <c r="D88" s="599"/>
      <c r="E88" s="600">
        <v>24</v>
      </c>
      <c r="F88" s="601">
        <v>12</v>
      </c>
      <c r="G88" s="602">
        <v>50</v>
      </c>
      <c r="H88" s="600"/>
      <c r="I88" s="600"/>
      <c r="J88" s="603"/>
      <c r="K88" s="603"/>
      <c r="L88" s="604"/>
      <c r="M88" s="604"/>
      <c r="N88" s="604"/>
      <c r="O88" s="604"/>
      <c r="P88" s="604"/>
      <c r="Q88" s="605"/>
      <c r="R88" s="605"/>
      <c r="S88" s="605"/>
      <c r="T88" s="605"/>
      <c r="U88" s="606">
        <f>E88*G88</f>
        <v>1200</v>
      </c>
      <c r="V88" s="637"/>
      <c r="X88" s="607"/>
      <c r="Z88" s="608"/>
      <c r="AA88" s="608"/>
      <c r="AB88" s="608"/>
      <c r="AC88" s="608"/>
    </row>
    <row r="89" spans="1:29" ht="14.45" customHeight="1" x14ac:dyDescent="0.25">
      <c r="A89" s="360" t="s">
        <v>343</v>
      </c>
      <c r="B89" s="474"/>
      <c r="C89" s="254"/>
      <c r="D89" s="254"/>
      <c r="E89" s="478">
        <v>24</v>
      </c>
      <c r="F89" s="479"/>
      <c r="G89" s="546">
        <v>30</v>
      </c>
      <c r="H89" s="478"/>
      <c r="I89" s="478"/>
      <c r="J89" s="480"/>
      <c r="K89" s="475"/>
      <c r="L89" s="476"/>
      <c r="M89" s="476"/>
      <c r="N89" s="476"/>
      <c r="O89" s="476"/>
      <c r="P89" s="476"/>
      <c r="Q89" s="477"/>
      <c r="R89" s="477"/>
      <c r="S89" s="477"/>
      <c r="T89" s="477"/>
      <c r="U89" s="548">
        <f>G89*E89</f>
        <v>720</v>
      </c>
      <c r="V89" s="264"/>
      <c r="X89" s="579"/>
      <c r="Y89" s="572"/>
      <c r="Z89" s="88"/>
      <c r="AA89" s="88"/>
      <c r="AB89" s="88"/>
      <c r="AC89" s="88"/>
    </row>
    <row r="90" spans="1:29" s="2" customFormat="1" x14ac:dyDescent="0.25">
      <c r="A90" s="231" t="s">
        <v>134</v>
      </c>
      <c r="B90" s="4"/>
      <c r="C90" s="4"/>
      <c r="D90" s="4">
        <v>1</v>
      </c>
      <c r="E90" s="4"/>
      <c r="F90" s="118">
        <v>12</v>
      </c>
      <c r="G90" s="547">
        <v>522</v>
      </c>
      <c r="H90" s="116"/>
      <c r="I90" s="116"/>
      <c r="J90" s="4"/>
      <c r="K90" s="4"/>
      <c r="L90" s="4"/>
      <c r="M90" s="4"/>
      <c r="N90" s="4"/>
      <c r="O90" s="4"/>
      <c r="P90" s="4"/>
      <c r="Q90" s="117">
        <f>F90*G90</f>
        <v>6264</v>
      </c>
      <c r="R90" s="117"/>
      <c r="S90" s="117"/>
      <c r="T90" s="117"/>
      <c r="U90" s="8">
        <f>F90*G90</f>
        <v>6264</v>
      </c>
      <c r="V90" s="110"/>
      <c r="X90" s="4"/>
      <c r="Y90" s="575">
        <v>4944</v>
      </c>
      <c r="Z90" s="5"/>
      <c r="AA90" s="5"/>
      <c r="AB90" s="5"/>
      <c r="AC90" s="5"/>
    </row>
    <row r="91" spans="1:29" s="2" customFormat="1" x14ac:dyDescent="0.25">
      <c r="A91" s="231" t="s">
        <v>135</v>
      </c>
      <c r="B91" s="4"/>
      <c r="C91" s="4"/>
      <c r="D91" s="4">
        <v>1</v>
      </c>
      <c r="E91" s="4"/>
      <c r="F91" s="118">
        <v>12</v>
      </c>
      <c r="G91" s="116">
        <v>495</v>
      </c>
      <c r="H91" s="116"/>
      <c r="I91" s="116"/>
      <c r="J91" s="4"/>
      <c r="K91" s="4"/>
      <c r="L91" s="4"/>
      <c r="M91" s="4"/>
      <c r="N91" s="4"/>
      <c r="O91" s="4"/>
      <c r="P91" s="4"/>
      <c r="Q91" s="117"/>
      <c r="R91" s="117"/>
      <c r="S91" s="117"/>
      <c r="T91" s="117"/>
      <c r="U91" s="8">
        <f>F91*G91</f>
        <v>5940</v>
      </c>
      <c r="V91" s="110"/>
      <c r="X91" s="4"/>
      <c r="Y91" s="575">
        <v>5643.84</v>
      </c>
      <c r="Z91" s="5"/>
      <c r="AA91" s="5"/>
      <c r="AB91" s="5"/>
      <c r="AC91" s="5"/>
    </row>
    <row r="92" spans="1:29" s="2" customFormat="1" x14ac:dyDescent="0.25">
      <c r="A92" s="231" t="s">
        <v>316</v>
      </c>
      <c r="B92" s="4"/>
      <c r="C92" s="4"/>
      <c r="D92" s="267">
        <v>2</v>
      </c>
      <c r="E92" s="267" t="s">
        <v>240</v>
      </c>
      <c r="F92" s="118">
        <v>52</v>
      </c>
      <c r="G92" s="259">
        <v>11.5</v>
      </c>
      <c r="H92" s="259"/>
      <c r="I92" s="116"/>
      <c r="J92" s="4"/>
      <c r="K92" s="4"/>
      <c r="L92" s="4"/>
      <c r="M92" s="4"/>
      <c r="N92" s="4"/>
      <c r="O92" s="4"/>
      <c r="P92" s="4"/>
      <c r="Q92" s="117"/>
      <c r="R92" s="117"/>
      <c r="S92" s="117"/>
      <c r="T92" s="117"/>
      <c r="U92" s="116">
        <f>F92*D92*G92</f>
        <v>1196</v>
      </c>
      <c r="V92" s="99"/>
      <c r="X92" s="4"/>
      <c r="Y92" s="575">
        <v>276</v>
      </c>
      <c r="Z92" s="5"/>
      <c r="AA92" s="5"/>
      <c r="AB92" s="5"/>
      <c r="AC92" s="5"/>
    </row>
    <row r="93" spans="1:29" s="2" customFormat="1" x14ac:dyDescent="0.25">
      <c r="A93" s="231" t="s">
        <v>204</v>
      </c>
      <c r="B93" s="4"/>
      <c r="C93" s="4"/>
      <c r="D93" s="267">
        <v>2</v>
      </c>
      <c r="E93" s="267" t="s">
        <v>240</v>
      </c>
      <c r="F93" s="118">
        <v>4</v>
      </c>
      <c r="G93" s="116">
        <v>145.19999999999999</v>
      </c>
      <c r="H93" s="116"/>
      <c r="I93" s="116"/>
      <c r="J93" s="4"/>
      <c r="K93" s="4"/>
      <c r="L93" s="4"/>
      <c r="M93" s="4"/>
      <c r="N93" s="4"/>
      <c r="O93" s="4"/>
      <c r="P93" s="4"/>
      <c r="Q93" s="117"/>
      <c r="R93" s="117"/>
      <c r="S93" s="117"/>
      <c r="T93" s="117"/>
      <c r="U93" s="116">
        <f>D93*F93*G93</f>
        <v>1161.5999999999999</v>
      </c>
      <c r="V93" s="99"/>
      <c r="X93" s="4"/>
      <c r="Y93" s="575">
        <v>1161.5999999999999</v>
      </c>
      <c r="Z93" s="5"/>
      <c r="AA93" s="5"/>
      <c r="AB93" s="5"/>
      <c r="AC93" s="5"/>
    </row>
    <row r="94" spans="1:29" s="2" customFormat="1" x14ac:dyDescent="0.25">
      <c r="A94" s="231" t="s">
        <v>317</v>
      </c>
      <c r="B94" s="4"/>
      <c r="C94" s="4"/>
      <c r="D94" s="267">
        <v>2</v>
      </c>
      <c r="E94" s="267"/>
      <c r="F94" s="118"/>
      <c r="G94" s="116">
        <v>180</v>
      </c>
      <c r="H94" s="116"/>
      <c r="I94" s="116"/>
      <c r="J94" s="4"/>
      <c r="K94" s="4"/>
      <c r="L94" s="4"/>
      <c r="M94" s="4"/>
      <c r="N94" s="4"/>
      <c r="O94" s="4"/>
      <c r="P94" s="4"/>
      <c r="Q94" s="117"/>
      <c r="R94" s="117"/>
      <c r="S94" s="117"/>
      <c r="T94" s="117"/>
      <c r="U94" s="116">
        <f>G94*D94</f>
        <v>360</v>
      </c>
      <c r="V94" s="99"/>
      <c r="X94" s="4"/>
      <c r="Y94" s="575"/>
      <c r="Z94" s="5"/>
      <c r="AA94" s="5"/>
      <c r="AB94" s="5"/>
      <c r="AC94" s="5"/>
    </row>
    <row r="95" spans="1:29" s="2" customFormat="1" x14ac:dyDescent="0.25">
      <c r="A95" s="231" t="s">
        <v>234</v>
      </c>
      <c r="B95" s="4"/>
      <c r="C95" s="4"/>
      <c r="D95" s="267">
        <v>835</v>
      </c>
      <c r="E95" s="267" t="s">
        <v>241</v>
      </c>
      <c r="F95" s="118"/>
      <c r="G95" s="116">
        <v>1.92</v>
      </c>
      <c r="H95" s="116"/>
      <c r="I95" s="116"/>
      <c r="J95" s="4"/>
      <c r="K95" s="4"/>
      <c r="L95" s="4"/>
      <c r="M95" s="4"/>
      <c r="N95" s="4"/>
      <c r="O95" s="4"/>
      <c r="P95" s="4"/>
      <c r="Q95" s="117"/>
      <c r="R95" s="117"/>
      <c r="S95" s="117"/>
      <c r="T95" s="117"/>
      <c r="U95" s="116">
        <f>G95*D95</f>
        <v>1603.2</v>
      </c>
      <c r="V95" s="99"/>
      <c r="X95" s="4"/>
      <c r="Y95" s="575">
        <v>1464.7</v>
      </c>
      <c r="Z95" s="5"/>
      <c r="AA95" s="5"/>
      <c r="AB95" s="5"/>
      <c r="AC95" s="5"/>
    </row>
    <row r="96" spans="1:29" s="2" customFormat="1" x14ac:dyDescent="0.25">
      <c r="A96" s="231" t="s">
        <v>157</v>
      </c>
      <c r="B96" s="4"/>
      <c r="C96" s="4"/>
      <c r="D96" s="267">
        <v>2</v>
      </c>
      <c r="E96" s="267"/>
      <c r="F96" s="118">
        <v>12</v>
      </c>
      <c r="G96" s="116">
        <v>167.5</v>
      </c>
      <c r="H96" s="116"/>
      <c r="I96" s="116"/>
      <c r="J96" s="4"/>
      <c r="K96" s="4"/>
      <c r="L96" s="4"/>
      <c r="M96" s="4"/>
      <c r="N96" s="4"/>
      <c r="O96" s="4"/>
      <c r="P96" s="4"/>
      <c r="Q96" s="117"/>
      <c r="R96" s="117"/>
      <c r="S96" s="117"/>
      <c r="T96" s="117"/>
      <c r="U96" s="116">
        <f>D96*F96*G96</f>
        <v>4020</v>
      </c>
      <c r="V96" s="99"/>
      <c r="X96" s="4"/>
      <c r="Y96" s="575">
        <v>3600</v>
      </c>
      <c r="Z96" s="5"/>
      <c r="AA96" s="5"/>
      <c r="AB96" s="5"/>
      <c r="AC96" s="5"/>
    </row>
    <row r="97" spans="1:31" s="2" customFormat="1" x14ac:dyDescent="0.25">
      <c r="A97" s="231" t="s">
        <v>158</v>
      </c>
      <c r="B97" s="4"/>
      <c r="C97" s="4"/>
      <c r="D97" s="267">
        <v>2</v>
      </c>
      <c r="E97" s="267"/>
      <c r="F97" s="118"/>
      <c r="G97" s="116">
        <v>189</v>
      </c>
      <c r="H97" s="116"/>
      <c r="I97" s="116"/>
      <c r="J97" s="4"/>
      <c r="K97" s="4"/>
      <c r="L97" s="4"/>
      <c r="M97" s="4"/>
      <c r="N97" s="4"/>
      <c r="O97" s="4"/>
      <c r="P97" s="4"/>
      <c r="Q97" s="117"/>
      <c r="R97" s="117"/>
      <c r="S97" s="117"/>
      <c r="T97" s="117"/>
      <c r="U97" s="116">
        <f>D97*G97</f>
        <v>378</v>
      </c>
      <c r="V97" s="99"/>
      <c r="X97" s="4"/>
      <c r="Y97" s="575">
        <v>378</v>
      </c>
      <c r="Z97" s="5"/>
      <c r="AA97" s="5"/>
      <c r="AB97" s="5"/>
      <c r="AC97" s="5"/>
    </row>
    <row r="98" spans="1:31" x14ac:dyDescent="0.25">
      <c r="A98" s="232" t="s">
        <v>55</v>
      </c>
      <c r="B98" s="7"/>
      <c r="C98" s="7"/>
      <c r="D98" s="119"/>
      <c r="E98" s="119">
        <v>54</v>
      </c>
      <c r="F98" s="119"/>
      <c r="G98" s="81">
        <v>160</v>
      </c>
      <c r="H98" s="81"/>
      <c r="I98" s="81"/>
      <c r="J98" s="81"/>
      <c r="K98" s="81"/>
      <c r="L98" s="7"/>
      <c r="M98" s="7"/>
      <c r="N98" s="7"/>
      <c r="O98" s="7"/>
      <c r="P98" s="7"/>
      <c r="Q98" s="120">
        <f xml:space="preserve"> (F98*G98)/4</f>
        <v>0</v>
      </c>
      <c r="R98" s="120"/>
      <c r="S98" s="120"/>
      <c r="T98" s="120"/>
      <c r="U98" s="81">
        <f>(E98*G98)/2</f>
        <v>4320</v>
      </c>
      <c r="V98" s="110"/>
      <c r="X98" s="7"/>
      <c r="Y98" s="106">
        <v>4125</v>
      </c>
      <c r="Z98" s="83"/>
      <c r="AA98" s="83"/>
      <c r="AB98" s="83"/>
      <c r="AC98" s="3"/>
    </row>
    <row r="99" spans="1:31" x14ac:dyDescent="0.25">
      <c r="A99" s="232" t="s">
        <v>137</v>
      </c>
      <c r="B99" s="7"/>
      <c r="C99" s="7"/>
      <c r="D99" s="119"/>
      <c r="E99" s="119">
        <v>54</v>
      </c>
      <c r="F99" s="119">
        <v>12</v>
      </c>
      <c r="G99" s="81">
        <v>27</v>
      </c>
      <c r="H99" s="81"/>
      <c r="I99" s="81"/>
      <c r="J99" s="81"/>
      <c r="K99" s="81"/>
      <c r="L99" s="7"/>
      <c r="M99" s="7"/>
      <c r="N99" s="7"/>
      <c r="O99" s="7"/>
      <c r="P99" s="7"/>
      <c r="Q99" s="120">
        <f>E99*F99*G99</f>
        <v>17496</v>
      </c>
      <c r="R99" s="120"/>
      <c r="S99" s="120"/>
      <c r="T99" s="120"/>
      <c r="U99" s="81">
        <f>E99*F99*G99</f>
        <v>17496</v>
      </c>
      <c r="V99" s="110"/>
      <c r="X99" s="7"/>
      <c r="Y99" s="106">
        <v>15840</v>
      </c>
      <c r="Z99" s="83"/>
      <c r="AA99" s="83"/>
      <c r="AB99" s="83"/>
      <c r="AC99" s="3"/>
    </row>
    <row r="100" spans="1:31" ht="15.75" thickBot="1" x14ac:dyDescent="0.3">
      <c r="A100" s="233" t="s">
        <v>56</v>
      </c>
      <c r="B100" s="37"/>
      <c r="C100" s="37"/>
      <c r="D100" s="121"/>
      <c r="E100" s="121"/>
      <c r="F100" s="121"/>
      <c r="G100" s="85">
        <v>300</v>
      </c>
      <c r="H100" s="85"/>
      <c r="I100" s="85"/>
      <c r="J100" s="85"/>
      <c r="K100" s="85"/>
      <c r="L100" s="37"/>
      <c r="M100" s="37"/>
      <c r="N100" s="37"/>
      <c r="O100" s="37"/>
      <c r="P100" s="37"/>
      <c r="Q100" s="120">
        <f>G100</f>
        <v>300</v>
      </c>
      <c r="R100" s="683"/>
      <c r="S100" s="683"/>
      <c r="T100" s="683"/>
      <c r="U100" s="85">
        <f>G100</f>
        <v>300</v>
      </c>
      <c r="V100" s="110"/>
      <c r="X100" s="7"/>
      <c r="Y100" s="106">
        <v>300</v>
      </c>
      <c r="Z100" s="83"/>
      <c r="AA100" s="83"/>
      <c r="AB100" s="83"/>
      <c r="AC100" s="3"/>
    </row>
    <row r="101" spans="1:31" ht="30" customHeight="1" thickBot="1" x14ac:dyDescent="0.3">
      <c r="A101" s="234" t="s">
        <v>57</v>
      </c>
      <c r="B101" s="122"/>
      <c r="C101" s="122"/>
      <c r="D101" s="122"/>
      <c r="E101" s="122"/>
      <c r="F101" s="122"/>
      <c r="G101" s="122"/>
      <c r="H101" s="122"/>
      <c r="I101" s="122"/>
      <c r="J101" s="122"/>
      <c r="K101" s="122"/>
      <c r="L101" s="122"/>
      <c r="M101" s="122"/>
      <c r="N101" s="122"/>
      <c r="O101" s="122"/>
      <c r="P101" s="123"/>
      <c r="Q101" s="124">
        <f>SUM(Q90:Q100)</f>
        <v>24060</v>
      </c>
      <c r="R101" s="124"/>
      <c r="S101" s="124"/>
      <c r="T101" s="124"/>
      <c r="U101" s="125">
        <f>SUM(U87:U100)</f>
        <v>142249.63</v>
      </c>
      <c r="V101" s="128"/>
      <c r="W101" s="106">
        <f>Y101</f>
        <v>37733.14</v>
      </c>
      <c r="X101" s="111"/>
      <c r="Y101" s="126">
        <f>SUM(Y90:Y100)</f>
        <v>37733.14</v>
      </c>
      <c r="Z101" s="122"/>
      <c r="AA101" s="122"/>
      <c r="AB101" s="122"/>
      <c r="AC101" s="123"/>
    </row>
    <row r="102" spans="1:31" ht="11.45" customHeight="1" thickBot="1" x14ac:dyDescent="0.3">
      <c r="A102" s="235"/>
      <c r="B102" s="127"/>
      <c r="C102" s="127"/>
      <c r="D102" s="127"/>
      <c r="E102" s="127"/>
      <c r="F102" s="127"/>
      <c r="G102" s="127"/>
      <c r="H102" s="127"/>
      <c r="I102" s="127"/>
      <c r="J102" s="127"/>
      <c r="K102" s="127"/>
      <c r="L102" s="127"/>
      <c r="M102" s="127"/>
      <c r="N102" s="127"/>
      <c r="O102" s="127"/>
      <c r="P102" s="127"/>
      <c r="Q102" s="127"/>
      <c r="R102" s="127"/>
      <c r="S102" s="127"/>
      <c r="T102" s="127"/>
      <c r="U102" s="128"/>
      <c r="V102" s="128"/>
      <c r="X102" s="380"/>
      <c r="Y102" s="129"/>
      <c r="Z102" s="127"/>
      <c r="AA102" s="127"/>
      <c r="AB102" s="127"/>
      <c r="AC102" s="127"/>
    </row>
    <row r="103" spans="1:31" ht="30" customHeight="1" thickBot="1" x14ac:dyDescent="0.3">
      <c r="A103" s="555" t="s">
        <v>19</v>
      </c>
      <c r="B103" s="130"/>
      <c r="C103" s="130"/>
      <c r="D103" s="130"/>
      <c r="E103" s="130"/>
      <c r="F103" s="131"/>
      <c r="G103" s="132"/>
      <c r="H103" s="132"/>
      <c r="I103" s="132"/>
      <c r="J103" s="132"/>
      <c r="K103" s="132"/>
      <c r="L103" s="130"/>
      <c r="M103" s="130"/>
      <c r="N103" s="130"/>
      <c r="O103" s="130"/>
      <c r="P103" s="130"/>
      <c r="Q103" s="133"/>
      <c r="R103" s="133"/>
      <c r="S103" s="133"/>
      <c r="T103" s="133"/>
      <c r="U103" s="134" t="s">
        <v>58</v>
      </c>
      <c r="V103" s="657"/>
      <c r="X103" s="582"/>
      <c r="Y103" s="576"/>
      <c r="Z103" s="130"/>
      <c r="AA103" s="130"/>
      <c r="AB103" s="130"/>
      <c r="AC103" s="130"/>
    </row>
    <row r="104" spans="1:31" x14ac:dyDescent="0.25">
      <c r="A104" s="232" t="s">
        <v>245</v>
      </c>
      <c r="B104" s="135"/>
      <c r="C104" s="135"/>
      <c r="D104" s="135"/>
      <c r="E104" s="135">
        <v>1</v>
      </c>
      <c r="F104" s="256">
        <v>54</v>
      </c>
      <c r="G104" s="136">
        <v>46</v>
      </c>
      <c r="H104" s="136"/>
      <c r="I104" s="136"/>
      <c r="J104" s="136"/>
      <c r="K104" s="136"/>
      <c r="L104" s="135"/>
      <c r="M104" s="135"/>
      <c r="N104" s="135"/>
      <c r="O104" s="135"/>
      <c r="P104" s="135"/>
      <c r="Q104" s="137">
        <f>G104</f>
        <v>46</v>
      </c>
      <c r="R104" s="137"/>
      <c r="S104" s="137"/>
      <c r="T104" s="137"/>
      <c r="U104" s="136">
        <f>(E104*F104*G104)</f>
        <v>2484</v>
      </c>
      <c r="V104" s="110"/>
      <c r="X104" s="7"/>
      <c r="Y104" s="106"/>
      <c r="Z104" s="83">
        <v>617.5</v>
      </c>
      <c r="AA104" s="83"/>
      <c r="AB104" s="83"/>
      <c r="AC104" s="3"/>
    </row>
    <row r="105" spans="1:31" x14ac:dyDescent="0.25">
      <c r="A105" s="232" t="s">
        <v>142</v>
      </c>
      <c r="B105" s="7"/>
      <c r="C105" s="7"/>
      <c r="D105" s="7"/>
      <c r="E105" s="7">
        <v>1</v>
      </c>
      <c r="F105" s="119">
        <v>54</v>
      </c>
      <c r="G105" s="81">
        <v>25.15</v>
      </c>
      <c r="H105" s="81"/>
      <c r="I105" s="81"/>
      <c r="J105" s="81"/>
      <c r="K105" s="81"/>
      <c r="L105" s="7"/>
      <c r="M105" s="7"/>
      <c r="N105" s="7"/>
      <c r="O105" s="7"/>
      <c r="P105" s="7"/>
      <c r="Q105" s="138">
        <f>F105*G105</f>
        <v>1358.1</v>
      </c>
      <c r="R105" s="138"/>
      <c r="S105" s="138"/>
      <c r="T105" s="138"/>
      <c r="U105" s="136">
        <f t="shared" ref="U105:U106" si="13">(E105*F105*G105)</f>
        <v>1358.1</v>
      </c>
      <c r="V105" s="110"/>
      <c r="X105" s="7"/>
      <c r="Y105" s="106"/>
      <c r="Z105" s="83">
        <v>390.92500000000001</v>
      </c>
      <c r="AA105" s="83"/>
      <c r="AB105" s="83"/>
      <c r="AC105" s="3"/>
    </row>
    <row r="106" spans="1:31" x14ac:dyDescent="0.25">
      <c r="A106" s="232" t="s">
        <v>147</v>
      </c>
      <c r="B106" s="7"/>
      <c r="C106" s="7"/>
      <c r="D106" s="7"/>
      <c r="E106" s="7">
        <v>1</v>
      </c>
      <c r="F106" s="119">
        <v>54</v>
      </c>
      <c r="G106" s="81">
        <v>27</v>
      </c>
      <c r="H106" s="81"/>
      <c r="I106" s="81"/>
      <c r="J106" s="81"/>
      <c r="K106" s="81"/>
      <c r="L106" s="7"/>
      <c r="M106" s="7"/>
      <c r="N106" s="7"/>
      <c r="O106" s="7"/>
      <c r="P106" s="7"/>
      <c r="Q106" s="138">
        <f>F106*G106</f>
        <v>1458</v>
      </c>
      <c r="R106" s="138"/>
      <c r="S106" s="138"/>
      <c r="T106" s="138"/>
      <c r="U106" s="136">
        <f t="shared" si="13"/>
        <v>1458</v>
      </c>
      <c r="V106" s="110"/>
      <c r="X106" s="7"/>
      <c r="Y106" s="106"/>
      <c r="Z106" s="83">
        <v>334.68499999999995</v>
      </c>
      <c r="AA106" s="83"/>
      <c r="AB106" s="83"/>
      <c r="AC106" s="3"/>
      <c r="AE106" s="106"/>
    </row>
    <row r="107" spans="1:31" x14ac:dyDescent="0.25">
      <c r="A107" s="557" t="s">
        <v>151</v>
      </c>
      <c r="B107" s="139"/>
      <c r="C107" s="7"/>
      <c r="D107" s="7"/>
      <c r="E107" s="7">
        <v>2.5</v>
      </c>
      <c r="F107" s="119">
        <v>45</v>
      </c>
      <c r="G107" s="81">
        <v>17.149999999999999</v>
      </c>
      <c r="H107" s="81"/>
      <c r="I107" s="81"/>
      <c r="J107" s="81"/>
      <c r="K107" s="81"/>
      <c r="L107" s="7"/>
      <c r="M107" s="7"/>
      <c r="N107" s="7"/>
      <c r="O107" s="7"/>
      <c r="P107" s="7"/>
      <c r="Q107" s="138">
        <f>B107*G107</f>
        <v>0</v>
      </c>
      <c r="R107" s="138"/>
      <c r="S107" s="138"/>
      <c r="T107" s="138"/>
      <c r="U107" s="81">
        <f>E107*F107*G107</f>
        <v>1929.3749999999998</v>
      </c>
      <c r="V107" s="110"/>
      <c r="X107" s="7"/>
      <c r="Y107" s="106"/>
      <c r="Z107" s="83">
        <v>164.35</v>
      </c>
      <c r="AA107" s="83"/>
      <c r="AB107" s="83"/>
      <c r="AC107" s="83"/>
    </row>
    <row r="108" spans="1:31" x14ac:dyDescent="0.25">
      <c r="A108" s="558" t="s">
        <v>228</v>
      </c>
      <c r="B108" s="139"/>
      <c r="C108" s="7"/>
      <c r="D108" s="7"/>
      <c r="E108" s="7"/>
      <c r="F108" s="119"/>
      <c r="G108" s="81">
        <v>3000</v>
      </c>
      <c r="H108" s="81"/>
      <c r="I108" s="81"/>
      <c r="J108" s="81"/>
      <c r="K108" s="81"/>
      <c r="L108" s="7"/>
      <c r="M108" s="7"/>
      <c r="N108" s="7"/>
      <c r="O108" s="7"/>
      <c r="P108" s="7"/>
      <c r="Q108" s="138">
        <f>F108*G108</f>
        <v>0</v>
      </c>
      <c r="R108" s="138"/>
      <c r="S108" s="138"/>
      <c r="T108" s="138"/>
      <c r="U108" s="81">
        <f>G108</f>
        <v>3000</v>
      </c>
      <c r="V108" s="110"/>
      <c r="X108" s="7"/>
      <c r="Y108" s="106"/>
      <c r="Z108" s="83">
        <v>1500</v>
      </c>
      <c r="AA108" s="83"/>
      <c r="AB108" s="83"/>
      <c r="AC108" s="83"/>
      <c r="AE108" s="106"/>
    </row>
    <row r="109" spans="1:31" x14ac:dyDescent="0.25">
      <c r="A109" s="558" t="s">
        <v>403</v>
      </c>
      <c r="B109" s="139"/>
      <c r="C109" s="7"/>
      <c r="D109" s="7"/>
      <c r="E109" s="7"/>
      <c r="F109" s="119"/>
      <c r="G109" s="81">
        <v>1600</v>
      </c>
      <c r="H109" s="81"/>
      <c r="I109" s="81"/>
      <c r="J109" s="81"/>
      <c r="K109" s="81"/>
      <c r="L109" s="7"/>
      <c r="M109" s="7"/>
      <c r="N109" s="7"/>
      <c r="O109" s="7"/>
      <c r="P109" s="7"/>
      <c r="Q109" s="138"/>
      <c r="R109" s="138"/>
      <c r="S109" s="138"/>
      <c r="T109" s="138"/>
      <c r="U109" s="81">
        <f>G109</f>
        <v>1600</v>
      </c>
      <c r="V109" s="110"/>
      <c r="X109" s="7"/>
      <c r="Y109" s="106"/>
      <c r="Z109" s="83"/>
      <c r="AA109" s="83"/>
      <c r="AB109" s="83"/>
      <c r="AC109" s="83"/>
      <c r="AE109" s="106"/>
    </row>
    <row r="110" spans="1:31" x14ac:dyDescent="0.25">
      <c r="A110" s="558" t="s">
        <v>478</v>
      </c>
      <c r="B110" s="139"/>
      <c r="C110" s="7"/>
      <c r="D110" s="7"/>
      <c r="E110" s="7"/>
      <c r="F110" s="119">
        <v>12</v>
      </c>
      <c r="G110" s="81">
        <v>750</v>
      </c>
      <c r="H110" s="81"/>
      <c r="I110" s="81"/>
      <c r="J110" s="81"/>
      <c r="K110" s="81"/>
      <c r="L110" s="7"/>
      <c r="M110" s="7"/>
      <c r="N110" s="7"/>
      <c r="O110" s="7"/>
      <c r="P110" s="7"/>
      <c r="Q110" s="138"/>
      <c r="R110" s="138"/>
      <c r="S110" s="138"/>
      <c r="T110" s="138"/>
      <c r="U110" s="81">
        <f>F110*G110</f>
        <v>9000</v>
      </c>
      <c r="V110" s="110"/>
      <c r="X110" s="7"/>
      <c r="Y110" s="106"/>
      <c r="Z110" s="83"/>
      <c r="AA110" s="83"/>
      <c r="AB110" s="83"/>
      <c r="AC110" s="83"/>
      <c r="AE110" s="106"/>
    </row>
    <row r="111" spans="1:31" x14ac:dyDescent="0.25">
      <c r="A111" s="558" t="s">
        <v>227</v>
      </c>
      <c r="B111" s="139"/>
      <c r="C111" s="7"/>
      <c r="D111" s="7"/>
      <c r="E111" s="7"/>
      <c r="F111" s="119"/>
      <c r="G111" s="81">
        <v>2000</v>
      </c>
      <c r="H111" s="81"/>
      <c r="I111" s="81"/>
      <c r="J111" s="81"/>
      <c r="K111" s="81"/>
      <c r="L111" s="7"/>
      <c r="M111" s="7"/>
      <c r="N111" s="7"/>
      <c r="O111" s="7"/>
      <c r="P111" s="7"/>
      <c r="Q111" s="138">
        <f>G111</f>
        <v>2000</v>
      </c>
      <c r="R111" s="138"/>
      <c r="S111" s="138"/>
      <c r="T111" s="138"/>
      <c r="U111" s="81">
        <f>G111</f>
        <v>2000</v>
      </c>
      <c r="V111" s="110"/>
      <c r="X111" s="7"/>
      <c r="Y111" s="106"/>
      <c r="Z111" s="83">
        <v>650</v>
      </c>
      <c r="AA111" s="83"/>
      <c r="AB111" s="83"/>
      <c r="AC111" s="83"/>
      <c r="AE111" s="106"/>
    </row>
    <row r="112" spans="1:31" x14ac:dyDescent="0.25">
      <c r="A112" s="558"/>
      <c r="B112" s="139"/>
      <c r="C112" s="7"/>
      <c r="D112" s="7"/>
      <c r="E112" s="7"/>
      <c r="F112" s="119"/>
      <c r="G112" s="81"/>
      <c r="H112" s="81"/>
      <c r="I112" s="81"/>
      <c r="J112" s="81"/>
      <c r="K112" s="81"/>
      <c r="L112" s="7"/>
      <c r="M112" s="7"/>
      <c r="N112" s="7"/>
      <c r="O112" s="7"/>
      <c r="P112" s="7"/>
      <c r="Q112" s="138"/>
      <c r="R112" s="138"/>
      <c r="S112" s="138"/>
      <c r="T112" s="138"/>
      <c r="U112" s="81"/>
      <c r="V112" s="110"/>
      <c r="X112" s="7"/>
      <c r="Y112" s="106"/>
      <c r="Z112" s="83"/>
      <c r="AA112" s="83"/>
      <c r="AB112" s="83"/>
      <c r="AC112" s="83"/>
      <c r="AE112" s="106"/>
    </row>
    <row r="113" spans="1:34" x14ac:dyDescent="0.25">
      <c r="A113" s="558" t="s">
        <v>230</v>
      </c>
      <c r="B113" s="139"/>
      <c r="C113" s="7"/>
      <c r="D113" s="7"/>
      <c r="E113" s="7"/>
      <c r="F113" s="119">
        <v>12</v>
      </c>
      <c r="G113" s="81">
        <v>50</v>
      </c>
      <c r="H113" s="81"/>
      <c r="I113" s="81"/>
      <c r="J113" s="81"/>
      <c r="K113" s="81"/>
      <c r="L113" s="7"/>
      <c r="M113" s="7"/>
      <c r="N113" s="7"/>
      <c r="O113" s="7"/>
      <c r="P113" s="7"/>
      <c r="Q113" s="138"/>
      <c r="R113" s="138"/>
      <c r="S113" s="138"/>
      <c r="T113" s="138"/>
      <c r="U113" s="81">
        <f>F113*G113</f>
        <v>600</v>
      </c>
      <c r="V113" s="110"/>
      <c r="X113" s="7"/>
      <c r="Y113" s="106"/>
      <c r="Z113" s="83"/>
      <c r="AA113" s="83"/>
      <c r="AB113" s="83"/>
      <c r="AC113" s="83"/>
      <c r="AE113" s="106"/>
    </row>
    <row r="114" spans="1:34" ht="15.75" thickBot="1" x14ac:dyDescent="0.3">
      <c r="A114" s="558" t="s">
        <v>405</v>
      </c>
      <c r="B114" s="7"/>
      <c r="C114" s="7"/>
      <c r="D114" s="7"/>
      <c r="E114" s="7"/>
      <c r="F114" s="119"/>
      <c r="G114" s="81">
        <v>6000</v>
      </c>
      <c r="H114" s="81"/>
      <c r="I114" s="81"/>
      <c r="J114" s="81"/>
      <c r="K114" s="81"/>
      <c r="L114" s="7"/>
      <c r="M114" s="7"/>
      <c r="N114" s="7"/>
      <c r="O114" s="7"/>
      <c r="P114" s="7"/>
      <c r="Q114" s="138">
        <v>3000</v>
      </c>
      <c r="R114" s="138"/>
      <c r="S114" s="138"/>
      <c r="T114" s="138"/>
      <c r="U114" s="81">
        <v>6000</v>
      </c>
      <c r="V114" s="110"/>
      <c r="X114" s="7"/>
      <c r="Y114" s="106"/>
      <c r="Z114" s="83">
        <v>149</v>
      </c>
      <c r="AA114" s="83"/>
      <c r="AB114" s="83"/>
      <c r="AC114" s="83"/>
    </row>
    <row r="115" spans="1:34" ht="30" customHeight="1" thickBot="1" x14ac:dyDescent="0.3">
      <c r="A115" s="556" t="s">
        <v>19</v>
      </c>
      <c r="B115" s="140"/>
      <c r="C115" s="140"/>
      <c r="D115" s="140"/>
      <c r="E115" s="140"/>
      <c r="F115" s="141"/>
      <c r="G115" s="142"/>
      <c r="H115" s="142"/>
      <c r="I115" s="142"/>
      <c r="J115" s="142"/>
      <c r="K115" s="142"/>
      <c r="L115" s="140"/>
      <c r="M115" s="140"/>
      <c r="N115" s="140"/>
      <c r="O115" s="140"/>
      <c r="P115" s="140"/>
      <c r="Q115" s="143"/>
      <c r="R115" s="143"/>
      <c r="S115" s="143"/>
      <c r="T115" s="143"/>
      <c r="U115" s="144">
        <f>SUM(U104:U114)</f>
        <v>29429.474999999999</v>
      </c>
      <c r="V115" s="641"/>
      <c r="W115" s="106">
        <f>Z115+AC115</f>
        <v>3806.46</v>
      </c>
      <c r="X115" s="550"/>
      <c r="Y115" s="140"/>
      <c r="Z115" s="142">
        <f>SUM(Z104:Z114)</f>
        <v>3806.46</v>
      </c>
      <c r="AA115" s="142"/>
      <c r="AB115" s="142"/>
      <c r="AC115" s="142"/>
    </row>
    <row r="116" spans="1:34" ht="10.5" customHeight="1" thickBot="1" x14ac:dyDescent="0.3">
      <c r="A116" s="235"/>
      <c r="B116" s="2"/>
      <c r="C116" s="2"/>
      <c r="D116" s="2"/>
      <c r="E116" s="2"/>
      <c r="F116" s="552"/>
      <c r="G116" s="110"/>
      <c r="H116" s="110"/>
      <c r="I116" s="110"/>
      <c r="J116" s="110"/>
      <c r="K116" s="110"/>
      <c r="L116" s="2"/>
      <c r="M116" s="2"/>
      <c r="N116" s="2"/>
      <c r="O116" s="2"/>
      <c r="P116" s="2"/>
      <c r="Q116" s="553"/>
      <c r="R116" s="553"/>
      <c r="S116" s="553"/>
      <c r="T116" s="553"/>
      <c r="U116" s="554"/>
      <c r="V116" s="641"/>
      <c r="W116" s="106"/>
      <c r="X116" s="550"/>
      <c r="Y116" s="550"/>
      <c r="Z116" s="551"/>
      <c r="AA116" s="551"/>
      <c r="AB116" s="551"/>
      <c r="AC116" s="551"/>
    </row>
    <row r="117" spans="1:34" ht="21.95" customHeight="1" thickBot="1" x14ac:dyDescent="0.3">
      <c r="A117" s="549" t="s">
        <v>59</v>
      </c>
      <c r="B117" s="145"/>
      <c r="C117" s="145"/>
      <c r="D117" s="145"/>
      <c r="E117" s="145"/>
      <c r="F117" s="145"/>
      <c r="G117" s="145"/>
      <c r="H117" s="145"/>
      <c r="I117" s="145"/>
      <c r="J117" s="145"/>
      <c r="K117" s="145"/>
      <c r="L117" s="145"/>
      <c r="M117" s="145"/>
      <c r="N117" s="145"/>
      <c r="O117" s="145"/>
      <c r="P117" s="145"/>
      <c r="Q117" s="146">
        <f>SUM(Q104:Q114)</f>
        <v>7862.1</v>
      </c>
      <c r="R117" s="857"/>
      <c r="S117" s="857"/>
      <c r="T117" s="857"/>
      <c r="U117" s="856">
        <f>U101+U115</f>
        <v>171679.10500000001</v>
      </c>
      <c r="V117" s="658"/>
      <c r="W117" s="106">
        <f>Y117+Z117+AC117</f>
        <v>41539.599999999999</v>
      </c>
      <c r="X117" s="145"/>
      <c r="Y117" s="148">
        <f>Y101</f>
        <v>37733.14</v>
      </c>
      <c r="Z117" s="148">
        <f>Z115</f>
        <v>3806.46</v>
      </c>
      <c r="AA117" s="148"/>
      <c r="AB117" s="148"/>
      <c r="AC117" s="148"/>
    </row>
    <row r="118" spans="1:34" ht="30" customHeight="1" thickBot="1" x14ac:dyDescent="0.3">
      <c r="A118" s="236" t="s">
        <v>60</v>
      </c>
      <c r="B118" s="149"/>
      <c r="C118" s="149"/>
      <c r="D118" s="149"/>
      <c r="E118" s="149"/>
      <c r="F118" s="150"/>
      <c r="G118" s="151"/>
      <c r="H118" s="151"/>
      <c r="I118" s="151"/>
      <c r="J118" s="151"/>
      <c r="K118" s="151"/>
      <c r="L118" s="152"/>
      <c r="M118" s="152"/>
      <c r="N118" s="149"/>
      <c r="O118" s="149"/>
      <c r="P118" s="149"/>
      <c r="Q118" s="153" t="e">
        <f>Q84+Q101+Q117</f>
        <v>#REF!</v>
      </c>
      <c r="R118" s="153"/>
      <c r="S118" s="153"/>
      <c r="T118" s="153"/>
      <c r="U118" s="154">
        <f>U117+U84</f>
        <v>3714195.1037272261</v>
      </c>
      <c r="V118" s="659"/>
      <c r="W118" s="106">
        <f>X118+Y118+Z118+AC118</f>
        <v>41539.599999999999</v>
      </c>
      <c r="X118" s="155"/>
      <c r="Y118" s="155">
        <f>Y117</f>
        <v>37733.14</v>
      </c>
      <c r="Z118" s="155">
        <f>Z115</f>
        <v>3806.46</v>
      </c>
      <c r="AA118" s="155"/>
      <c r="AB118" s="155"/>
      <c r="AC118" s="155"/>
    </row>
    <row r="119" spans="1:34" ht="20.100000000000001" customHeight="1" x14ac:dyDescent="0.25">
      <c r="A119" s="237" t="s">
        <v>61</v>
      </c>
      <c r="B119" s="156"/>
      <c r="C119" s="156"/>
      <c r="D119" s="156"/>
      <c r="E119" s="156"/>
      <c r="F119" s="156"/>
      <c r="G119" s="156"/>
      <c r="H119" s="156"/>
      <c r="I119" s="156"/>
      <c r="J119" s="156"/>
      <c r="K119" s="156"/>
      <c r="L119" s="157"/>
      <c r="M119" s="157"/>
      <c r="N119" s="156"/>
      <c r="O119" s="156"/>
      <c r="P119" s="156"/>
      <c r="Q119" s="158"/>
      <c r="R119" s="158"/>
      <c r="S119" s="158"/>
      <c r="T119" s="158"/>
      <c r="U119" s="158"/>
      <c r="V119" s="655"/>
      <c r="W119" s="159"/>
      <c r="X119" s="156"/>
      <c r="Y119" s="156"/>
      <c r="Z119" s="156"/>
      <c r="AA119" s="156"/>
      <c r="AB119" s="156"/>
      <c r="AC119" s="156"/>
      <c r="AD119" s="106"/>
    </row>
    <row r="120" spans="1:34" ht="28.5" customHeight="1" x14ac:dyDescent="0.25">
      <c r="A120" s="238" t="s">
        <v>62</v>
      </c>
      <c r="B120" s="283">
        <v>0.06</v>
      </c>
      <c r="C120" s="7"/>
      <c r="D120" s="7"/>
      <c r="E120" s="7"/>
      <c r="F120" s="7"/>
      <c r="G120" s="160">
        <f>U118</f>
        <v>3714195.1037272261</v>
      </c>
      <c r="H120" s="160"/>
      <c r="I120" s="160"/>
      <c r="J120" s="160"/>
      <c r="K120" s="160"/>
      <c r="L120" s="7"/>
      <c r="M120" s="7"/>
      <c r="N120" s="7"/>
      <c r="O120" s="7"/>
      <c r="P120" s="7"/>
      <c r="Q120" s="161">
        <f>B120*G120</f>
        <v>222851.70622363355</v>
      </c>
      <c r="R120" s="161"/>
      <c r="S120" s="161"/>
      <c r="T120" s="161"/>
      <c r="U120" s="162">
        <f>(G120*B120)+0.001</f>
        <v>222851.70722363354</v>
      </c>
      <c r="V120" s="99"/>
      <c r="W120" s="163"/>
      <c r="X120" s="3"/>
      <c r="Z120" s="164">
        <f>U120</f>
        <v>222851.70722363354</v>
      </c>
      <c r="AA120" s="164"/>
      <c r="AB120" s="164"/>
      <c r="AC120" s="3"/>
    </row>
    <row r="121" spans="1:34" ht="26.45" customHeight="1" x14ac:dyDescent="0.25">
      <c r="A121" s="232" t="s">
        <v>20</v>
      </c>
      <c r="B121" s="283">
        <v>0.05</v>
      </c>
      <c r="C121" s="7"/>
      <c r="D121" s="7"/>
      <c r="E121" s="7"/>
      <c r="F121" s="7"/>
      <c r="G121" s="160">
        <f>U118</f>
        <v>3714195.1037272261</v>
      </c>
      <c r="H121" s="160"/>
      <c r="I121" s="160"/>
      <c r="J121" s="160"/>
      <c r="K121" s="160"/>
      <c r="L121" s="7"/>
      <c r="M121" s="7"/>
      <c r="N121" s="7"/>
      <c r="O121" s="7"/>
      <c r="P121" s="7"/>
      <c r="Q121" s="80">
        <f>G121*B121+0.0035</f>
        <v>185709.75868636131</v>
      </c>
      <c r="R121" s="80"/>
      <c r="S121" s="80"/>
      <c r="T121" s="80"/>
      <c r="U121" s="160">
        <f>(G121*B121)</f>
        <v>185709.75518636132</v>
      </c>
      <c r="V121" s="660"/>
      <c r="W121" s="163"/>
      <c r="X121" s="3"/>
      <c r="Z121" s="3"/>
      <c r="AA121" s="164">
        <f>'TAULA MARE DEF'!$U$121</f>
        <v>185709.75518636132</v>
      </c>
      <c r="AB121" s="164"/>
      <c r="AC121" s="3"/>
    </row>
    <row r="122" spans="1:34" ht="30" customHeight="1" thickBot="1" x14ac:dyDescent="0.3">
      <c r="A122" s="240" t="s">
        <v>21</v>
      </c>
      <c r="B122" s="168"/>
      <c r="C122" s="168"/>
      <c r="D122" s="168"/>
      <c r="E122" s="168"/>
      <c r="F122" s="168"/>
      <c r="G122" s="168"/>
      <c r="H122" s="168"/>
      <c r="I122" s="168"/>
      <c r="J122" s="168"/>
      <c r="K122" s="168"/>
      <c r="L122" s="168"/>
      <c r="M122" s="168"/>
      <c r="N122" s="168"/>
      <c r="O122" s="168"/>
      <c r="P122" s="168"/>
      <c r="Q122" s="169">
        <f>SUM(Q120:Q121)-0.0001</f>
        <v>408561.46480999485</v>
      </c>
      <c r="R122" s="169"/>
      <c r="S122" s="169"/>
      <c r="T122" s="169"/>
      <c r="U122" s="170">
        <f>SUM(U120:U121)</f>
        <v>408561.46240999486</v>
      </c>
      <c r="V122" s="661"/>
      <c r="W122" s="171">
        <f>X122+Y122+Z122+AA122+AC122</f>
        <v>408561.46240999486</v>
      </c>
      <c r="X122" s="149"/>
      <c r="Y122" s="149"/>
      <c r="Z122" s="172">
        <f>SUM(Z120:Z121)</f>
        <v>222851.70722363354</v>
      </c>
      <c r="AA122" s="172">
        <f>AA121</f>
        <v>185709.75518636132</v>
      </c>
      <c r="AB122" s="172"/>
      <c r="AC122" s="149"/>
    </row>
    <row r="123" spans="1:34" ht="27.6" customHeight="1" thickTop="1" thickBot="1" x14ac:dyDescent="0.35">
      <c r="A123" s="241" t="s">
        <v>22</v>
      </c>
      <c r="B123" s="173"/>
      <c r="C123" s="173"/>
      <c r="D123" s="173"/>
      <c r="E123" s="173"/>
      <c r="F123" s="173"/>
      <c r="G123" s="173"/>
      <c r="H123" s="173"/>
      <c r="I123" s="173"/>
      <c r="J123" s="173"/>
      <c r="K123" s="173"/>
      <c r="L123" s="173"/>
      <c r="M123" s="173"/>
      <c r="N123" s="173"/>
      <c r="O123" s="173"/>
      <c r="P123" s="173"/>
      <c r="Q123" s="174" t="e">
        <f>Q118+Q122-0.009</f>
        <v>#REF!</v>
      </c>
      <c r="R123" s="174"/>
      <c r="S123" s="174"/>
      <c r="T123" s="174"/>
      <c r="U123" s="175">
        <f>U84+U117+U122</f>
        <v>4122756.5661372212</v>
      </c>
      <c r="V123" s="662"/>
      <c r="W123" s="171" t="e">
        <f>SUM(X123:AC123)</f>
        <v>#REF!</v>
      </c>
      <c r="X123" s="176"/>
      <c r="Y123" s="177">
        <f>Y118</f>
        <v>37733.14</v>
      </c>
      <c r="Z123" s="177">
        <f>Z118+Z122</f>
        <v>226658.16722363353</v>
      </c>
      <c r="AA123" s="177">
        <f>AA122</f>
        <v>185709.75518636132</v>
      </c>
      <c r="AB123" s="177" t="e">
        <f>AB84</f>
        <v>#REF!</v>
      </c>
      <c r="AC123" s="178">
        <f>AC118</f>
        <v>0</v>
      </c>
      <c r="AH123" s="106"/>
    </row>
    <row r="124" spans="1:34" ht="21.6" customHeight="1" thickTop="1" x14ac:dyDescent="0.25">
      <c r="A124" s="216" t="s">
        <v>63</v>
      </c>
      <c r="B124" s="179">
        <v>0.1</v>
      </c>
      <c r="G124" s="20">
        <f>U123</f>
        <v>4122756.5661372212</v>
      </c>
      <c r="H124" s="20"/>
      <c r="I124" s="20"/>
      <c r="J124" s="20"/>
      <c r="K124" s="20"/>
      <c r="Q124" s="180">
        <f>G124*10%</f>
        <v>412275.65661372215</v>
      </c>
      <c r="R124" s="180"/>
      <c r="S124" s="180"/>
      <c r="T124" s="180"/>
      <c r="U124" s="160">
        <f>U123*B124</f>
        <v>412275.65661372215</v>
      </c>
      <c r="V124" s="660"/>
      <c r="W124" s="171"/>
      <c r="X124" s="106"/>
      <c r="Y124" s="106"/>
      <c r="Z124" s="106"/>
      <c r="AA124" s="106"/>
      <c r="AB124" s="106"/>
      <c r="AC124" s="106">
        <f>AC123*10%</f>
        <v>0</v>
      </c>
    </row>
    <row r="125" spans="1:34" ht="15.75" x14ac:dyDescent="0.25">
      <c r="A125" s="242" t="s">
        <v>23</v>
      </c>
      <c r="B125" s="181"/>
      <c r="C125" s="181"/>
      <c r="D125" s="181"/>
      <c r="E125" s="181"/>
      <c r="F125" s="181"/>
      <c r="G125" s="181"/>
      <c r="H125" s="181"/>
      <c r="I125" s="181"/>
      <c r="J125" s="181"/>
      <c r="K125" s="181"/>
      <c r="L125" s="181"/>
      <c r="M125" s="181"/>
      <c r="N125" s="181"/>
      <c r="O125" s="181"/>
      <c r="P125" s="181"/>
      <c r="Q125" s="182" t="e">
        <f>Q123+Q124</f>
        <v>#REF!</v>
      </c>
      <c r="R125" s="182"/>
      <c r="S125" s="182"/>
      <c r="T125" s="182"/>
      <c r="U125" s="183">
        <f>U123+U124</f>
        <v>4535032.2227509432</v>
      </c>
      <c r="V125" s="663"/>
      <c r="W125" s="171"/>
      <c r="X125" s="184"/>
      <c r="Y125" s="184"/>
      <c r="Z125" s="184"/>
      <c r="AA125" s="184"/>
      <c r="AB125" s="184"/>
      <c r="AC125" s="184">
        <f t="shared" ref="AC125" si="14">AC123+AC124</f>
        <v>0</v>
      </c>
    </row>
    <row r="126" spans="1:34" x14ac:dyDescent="0.25">
      <c r="K126" s="20"/>
      <c r="W126" s="171"/>
      <c r="Y126" s="106"/>
    </row>
    <row r="127" spans="1:34" ht="30.75" customHeight="1" x14ac:dyDescent="0.25">
      <c r="M127" s="20"/>
      <c r="Q127" s="20"/>
      <c r="R127" s="20"/>
      <c r="S127" s="20"/>
      <c r="T127" s="20"/>
      <c r="U127" s="106"/>
      <c r="V127" s="110"/>
      <c r="Y127" s="185"/>
    </row>
    <row r="128" spans="1:34" x14ac:dyDescent="0.25">
      <c r="Q128" s="186"/>
      <c r="R128" s="186"/>
      <c r="S128" s="186"/>
      <c r="T128" s="186"/>
      <c r="W128" s="1707" t="s">
        <v>64</v>
      </c>
      <c r="X128" s="1707"/>
      <c r="Y128" s="187">
        <f>X123+Y123+Z123+AA123</f>
        <v>450101.06240999483</v>
      </c>
      <c r="Z128" s="263">
        <v>2074562.9220066876</v>
      </c>
      <c r="AA128" s="171"/>
      <c r="AB128" s="188"/>
      <c r="AC128" s="189"/>
    </row>
    <row r="129" spans="5:29" x14ac:dyDescent="0.25">
      <c r="G129" s="190"/>
      <c r="H129" s="190"/>
      <c r="I129" s="190"/>
      <c r="J129" s="190"/>
      <c r="N129" s="186"/>
      <c r="O129" s="186"/>
      <c r="P129" s="20"/>
      <c r="U129">
        <v>800</v>
      </c>
      <c r="W129" s="1707" t="s">
        <v>231</v>
      </c>
      <c r="X129" s="1707"/>
      <c r="Y129" s="106">
        <v>31200</v>
      </c>
      <c r="Z129" s="106">
        <f>Y129/U129</f>
        <v>39</v>
      </c>
      <c r="AA129" s="106"/>
    </row>
    <row r="130" spans="5:29" x14ac:dyDescent="0.25">
      <c r="F130" s="191"/>
      <c r="G130" s="192"/>
      <c r="H130" s="192"/>
      <c r="I130" s="192"/>
      <c r="J130" s="193"/>
      <c r="K130" s="194"/>
      <c r="L130" s="195"/>
      <c r="M130" s="195"/>
      <c r="P130" s="196"/>
      <c r="Q130" s="197"/>
      <c r="R130" s="197"/>
      <c r="S130" s="197"/>
      <c r="T130" s="197"/>
      <c r="U130">
        <v>400</v>
      </c>
      <c r="W130" s="198" t="s">
        <v>232</v>
      </c>
      <c r="X130" s="198"/>
      <c r="Y130" s="99">
        <v>22800</v>
      </c>
      <c r="Z130" s="106">
        <f>Y130/U130</f>
        <v>57</v>
      </c>
      <c r="AA130" s="106"/>
    </row>
    <row r="131" spans="5:29" x14ac:dyDescent="0.25">
      <c r="E131" s="195"/>
      <c r="G131" s="199"/>
      <c r="H131" s="199"/>
      <c r="I131" s="199"/>
      <c r="J131" s="193"/>
      <c r="K131" s="179"/>
      <c r="L131" s="194"/>
      <c r="M131" s="194"/>
      <c r="U131">
        <v>50</v>
      </c>
      <c r="W131" t="s">
        <v>233</v>
      </c>
      <c r="Y131" s="264">
        <v>3300</v>
      </c>
      <c r="Z131" s="106">
        <f>Y131/U131</f>
        <v>66</v>
      </c>
      <c r="AA131" s="106"/>
    </row>
    <row r="132" spans="5:29" x14ac:dyDescent="0.25">
      <c r="G132" s="192"/>
      <c r="H132" s="192"/>
      <c r="I132" s="192"/>
      <c r="J132" s="193"/>
      <c r="K132" s="201"/>
      <c r="L132" s="194"/>
      <c r="M132" s="194"/>
      <c r="P132" s="20"/>
      <c r="Y132" s="200">
        <f>SUM(Y128:Y131)</f>
        <v>507401.06240999483</v>
      </c>
      <c r="Z132" s="106"/>
      <c r="AA132" s="106"/>
      <c r="AC132" s="106"/>
    </row>
    <row r="133" spans="5:29" x14ac:dyDescent="0.25">
      <c r="G133" s="20"/>
      <c r="H133" s="20"/>
      <c r="I133" s="20"/>
      <c r="J133" s="202"/>
      <c r="L133" s="193"/>
      <c r="M133" s="193"/>
      <c r="Y133" s="106"/>
    </row>
    <row r="134" spans="5:29" x14ac:dyDescent="0.25">
      <c r="G134" s="20"/>
      <c r="H134" s="20"/>
      <c r="I134" s="20"/>
      <c r="L134" s="202"/>
      <c r="M134" s="202"/>
      <c r="P134" s="203"/>
    </row>
    <row r="135" spans="5:29" x14ac:dyDescent="0.25">
      <c r="G135" s="20"/>
      <c r="H135" s="20"/>
      <c r="I135" s="20"/>
      <c r="K135" s="194"/>
      <c r="P135" s="194"/>
    </row>
    <row r="136" spans="5:29" x14ac:dyDescent="0.25">
      <c r="G136" s="20"/>
      <c r="H136" s="20"/>
      <c r="I136" s="20"/>
      <c r="J136" s="195"/>
      <c r="K136" s="202"/>
      <c r="Y136" s="106"/>
    </row>
    <row r="137" spans="5:29" x14ac:dyDescent="0.25">
      <c r="J137" s="202"/>
    </row>
    <row r="138" spans="5:29" x14ac:dyDescent="0.25">
      <c r="G138" s="20"/>
      <c r="H138" s="20"/>
      <c r="I138" s="20"/>
    </row>
    <row r="139" spans="5:29" x14ac:dyDescent="0.25">
      <c r="U139" s="20"/>
      <c r="V139" s="660"/>
    </row>
  </sheetData>
  <mergeCells count="5">
    <mergeCell ref="A1:W1"/>
    <mergeCell ref="A3:W3"/>
    <mergeCell ref="A4:W4"/>
    <mergeCell ref="W128:X128"/>
    <mergeCell ref="W129:X129"/>
  </mergeCells>
  <printOptions horizontalCentered="1"/>
  <pageMargins left="0.23622047244094491" right="0.23622047244094491" top="0.74803149606299213" bottom="0.74803149606299213" header="0.31496062992125984" footer="0.31496062992125984"/>
  <pageSetup paperSize="8" scale="45" orientation="portrait" r:id="rId1"/>
  <customProperties>
    <customPr name="EpmWorksheetKeyString_GUID" r:id="rId2"/>
  </customProperties>
  <ignoredErrors>
    <ignoredError sqref="U74 U110 N23 N36 P51" formula="1"/>
  </ignoredErrors>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58"/>
  <sheetViews>
    <sheetView topLeftCell="A43" workbookViewId="0">
      <selection activeCell="D51" sqref="D51"/>
    </sheetView>
  </sheetViews>
  <sheetFormatPr defaultColWidth="10.85546875" defaultRowHeight="15" x14ac:dyDescent="0.25"/>
  <cols>
    <col min="7" max="8" width="14.140625" customWidth="1"/>
    <col min="9" max="9" width="10.42578125" customWidth="1"/>
    <col min="14" max="14" width="15.140625" bestFit="1" customWidth="1"/>
    <col min="15" max="15" width="11.28515625" bestFit="1" customWidth="1"/>
  </cols>
  <sheetData>
    <row r="1" spans="1:31" x14ac:dyDescent="0.25">
      <c r="A1" t="s">
        <v>344</v>
      </c>
    </row>
    <row r="3" spans="1:31" x14ac:dyDescent="0.25">
      <c r="J3" t="s">
        <v>345</v>
      </c>
    </row>
    <row r="6" spans="1:31" x14ac:dyDescent="0.25">
      <c r="J6" t="s">
        <v>346</v>
      </c>
    </row>
    <row r="8" spans="1:31" x14ac:dyDescent="0.25">
      <c r="J8" t="s">
        <v>347</v>
      </c>
    </row>
    <row r="10" spans="1:31" x14ac:dyDescent="0.25">
      <c r="J10" t="s">
        <v>348</v>
      </c>
    </row>
    <row r="12" spans="1:31" x14ac:dyDescent="0.25">
      <c r="K12">
        <v>2024</v>
      </c>
    </row>
    <row r="13" spans="1:31" ht="62.1" customHeight="1" x14ac:dyDescent="0.25">
      <c r="J13" t="s">
        <v>349</v>
      </c>
      <c r="K13">
        <v>122</v>
      </c>
      <c r="L13" t="s">
        <v>350</v>
      </c>
      <c r="Q13" s="496" t="s">
        <v>351</v>
      </c>
      <c r="W13" s="1716" t="s">
        <v>352</v>
      </c>
      <c r="X13" s="1716"/>
      <c r="Y13" s="1716"/>
      <c r="Z13" s="1716"/>
      <c r="AA13" s="1716"/>
      <c r="AB13" s="1716"/>
      <c r="AC13" s="1716"/>
      <c r="AD13" s="1716"/>
      <c r="AE13" s="1716"/>
    </row>
    <row r="14" spans="1:31" x14ac:dyDescent="0.25">
      <c r="J14" t="s">
        <v>353</v>
      </c>
      <c r="K14">
        <v>6</v>
      </c>
      <c r="L14" t="s">
        <v>354</v>
      </c>
      <c r="Q14" s="496" t="s">
        <v>355</v>
      </c>
    </row>
    <row r="15" spans="1:31" x14ac:dyDescent="0.25">
      <c r="J15" t="s">
        <v>356</v>
      </c>
      <c r="K15">
        <v>34</v>
      </c>
      <c r="Q15" s="496" t="s">
        <v>357</v>
      </c>
    </row>
    <row r="16" spans="1:31" x14ac:dyDescent="0.25">
      <c r="K16">
        <f>K13-K14-K15</f>
        <v>82</v>
      </c>
      <c r="Q16" s="496" t="s">
        <v>358</v>
      </c>
    </row>
    <row r="17" spans="1:25" x14ac:dyDescent="0.25">
      <c r="M17" t="s">
        <v>359</v>
      </c>
      <c r="O17">
        <f>9+8+9+8</f>
        <v>34</v>
      </c>
      <c r="Q17" s="496" t="s">
        <v>360</v>
      </c>
    </row>
    <row r="18" spans="1:25" x14ac:dyDescent="0.25">
      <c r="M18" s="497">
        <v>45573</v>
      </c>
      <c r="Q18" s="496" t="s">
        <v>361</v>
      </c>
    </row>
    <row r="19" spans="1:25" x14ac:dyDescent="0.25">
      <c r="M19" s="497">
        <v>45605</v>
      </c>
      <c r="Q19" s="496" t="s">
        <v>362</v>
      </c>
    </row>
    <row r="20" spans="1:25" x14ac:dyDescent="0.25">
      <c r="M20" s="497">
        <v>45634</v>
      </c>
      <c r="Q20" s="496" t="s">
        <v>363</v>
      </c>
    </row>
    <row r="21" spans="1:25" x14ac:dyDescent="0.25">
      <c r="M21" t="s">
        <v>364</v>
      </c>
      <c r="Q21" s="496" t="s">
        <v>365</v>
      </c>
    </row>
    <row r="22" spans="1:25" x14ac:dyDescent="0.25">
      <c r="Q22" s="496" t="s">
        <v>366</v>
      </c>
    </row>
    <row r="23" spans="1:25" x14ac:dyDescent="0.25">
      <c r="Q23" s="496" t="s">
        <v>367</v>
      </c>
    </row>
    <row r="24" spans="1:25" x14ac:dyDescent="0.25">
      <c r="Q24" s="496" t="s">
        <v>368</v>
      </c>
    </row>
    <row r="25" spans="1:25" x14ac:dyDescent="0.25">
      <c r="Q25" s="496" t="s">
        <v>369</v>
      </c>
      <c r="Y25">
        <f>1353.05*15</f>
        <v>20295.75</v>
      </c>
    </row>
    <row r="26" spans="1:25" x14ac:dyDescent="0.25">
      <c r="H26" s="106"/>
      <c r="I26" s="189"/>
    </row>
    <row r="28" spans="1:25" x14ac:dyDescent="0.25">
      <c r="H28" s="189"/>
      <c r="I28" s="106"/>
    </row>
    <row r="29" spans="1:25" ht="18.75" thickBot="1" x14ac:dyDescent="0.3">
      <c r="A29" s="498" t="s">
        <v>370</v>
      </c>
      <c r="B29" s="498"/>
      <c r="C29" s="499" t="s">
        <v>371</v>
      </c>
      <c r="D29" s="498"/>
      <c r="E29" s="498"/>
      <c r="F29" s="498"/>
      <c r="G29" s="498"/>
      <c r="H29" s="498"/>
      <c r="I29" s="498"/>
      <c r="J29" s="498"/>
    </row>
    <row r="30" spans="1:25" ht="15.75" thickBot="1" x14ac:dyDescent="0.3">
      <c r="A30" s="500"/>
      <c r="B30" s="501" t="s">
        <v>372</v>
      </c>
      <c r="C30" s="501">
        <v>247</v>
      </c>
      <c r="D30" s="500"/>
      <c r="E30" s="500"/>
      <c r="F30" s="500"/>
      <c r="G30" s="500"/>
      <c r="H30" s="500"/>
      <c r="I30" s="500"/>
      <c r="J30" s="500"/>
      <c r="V30">
        <f>1353.05*15</f>
        <v>20295.75</v>
      </c>
    </row>
    <row r="31" spans="1:25" ht="15.75" thickBot="1" x14ac:dyDescent="0.3">
      <c r="A31" s="500"/>
      <c r="B31" s="501" t="s">
        <v>373</v>
      </c>
      <c r="C31" s="501">
        <v>104</v>
      </c>
      <c r="D31" s="500"/>
      <c r="E31" s="501" t="s">
        <v>374</v>
      </c>
      <c r="F31" s="502">
        <v>1782</v>
      </c>
      <c r="G31" s="500"/>
      <c r="H31" s="503"/>
      <c r="I31" s="504" t="s">
        <v>375</v>
      </c>
      <c r="J31" s="505">
        <v>0.314</v>
      </c>
    </row>
    <row r="32" spans="1:25" ht="15.75" thickBot="1" x14ac:dyDescent="0.3">
      <c r="A32" s="500"/>
      <c r="B32" s="501" t="s">
        <v>376</v>
      </c>
      <c r="C32" s="501">
        <v>14</v>
      </c>
      <c r="D32" s="500"/>
      <c r="E32" s="500"/>
      <c r="F32" s="500"/>
      <c r="G32" s="500"/>
      <c r="H32" s="500"/>
      <c r="I32" s="500"/>
      <c r="J32" s="500"/>
    </row>
    <row r="33" spans="1:19" ht="64.5" thickBot="1" x14ac:dyDescent="0.3">
      <c r="A33" s="506" t="s">
        <v>377</v>
      </c>
      <c r="B33" s="507" t="s">
        <v>378</v>
      </c>
      <c r="C33" s="508" t="s">
        <v>379</v>
      </c>
      <c r="D33" s="507" t="s">
        <v>380</v>
      </c>
      <c r="E33" s="508" t="s">
        <v>381</v>
      </c>
      <c r="F33" s="507" t="s">
        <v>382</v>
      </c>
      <c r="G33" s="508" t="s">
        <v>383</v>
      </c>
      <c r="H33" s="507" t="s">
        <v>384</v>
      </c>
      <c r="I33" s="509" t="s">
        <v>385</v>
      </c>
      <c r="J33" s="509" t="s">
        <v>386</v>
      </c>
      <c r="K33" s="509" t="s">
        <v>387</v>
      </c>
      <c r="L33" s="507" t="s">
        <v>388</v>
      </c>
    </row>
    <row r="34" spans="1:19" ht="51.75" x14ac:dyDescent="0.25">
      <c r="A34" s="510" t="s">
        <v>389</v>
      </c>
      <c r="B34" s="511"/>
      <c r="C34" s="512">
        <v>12</v>
      </c>
      <c r="D34" s="513">
        <v>5</v>
      </c>
      <c r="E34" s="514">
        <v>4199</v>
      </c>
      <c r="F34" s="515">
        <f>E34/1782</f>
        <v>2.3563411896745232</v>
      </c>
      <c r="G34" s="516">
        <v>20295.75</v>
      </c>
      <c r="H34" s="517"/>
      <c r="I34" s="517"/>
      <c r="J34" s="518">
        <f>G34*F34</f>
        <v>47823.711700336702</v>
      </c>
      <c r="K34" s="518">
        <f>J34*31.4%</f>
        <v>15016.645473905724</v>
      </c>
      <c r="L34" s="519">
        <f>SUM(J34:K34)</f>
        <v>62840.357174242425</v>
      </c>
    </row>
    <row r="35" spans="1:19" ht="51.75" x14ac:dyDescent="0.25">
      <c r="A35" s="520" t="s">
        <v>390</v>
      </c>
      <c r="B35" s="521"/>
      <c r="C35" s="522"/>
      <c r="D35" s="523"/>
      <c r="E35" s="524"/>
      <c r="F35" s="525"/>
      <c r="G35" s="526"/>
      <c r="H35" s="527"/>
      <c r="I35" s="527"/>
      <c r="J35" s="528"/>
      <c r="K35" s="528"/>
      <c r="L35" s="529"/>
    </row>
    <row r="36" spans="1:19" ht="77.25" x14ac:dyDescent="0.25">
      <c r="A36" s="520" t="s">
        <v>391</v>
      </c>
      <c r="B36" s="521"/>
      <c r="C36" s="522"/>
      <c r="D36" s="523"/>
      <c r="E36" s="524"/>
      <c r="F36" s="525"/>
      <c r="G36" s="526"/>
      <c r="H36" s="527"/>
      <c r="I36" s="527"/>
      <c r="J36" s="528"/>
      <c r="K36" s="528"/>
      <c r="L36" s="529"/>
    </row>
    <row r="37" spans="1:19" ht="77.25" x14ac:dyDescent="0.25">
      <c r="A37" s="520" t="s">
        <v>392</v>
      </c>
      <c r="B37" s="521"/>
      <c r="C37" s="522"/>
      <c r="D37" s="523"/>
      <c r="E37" s="524"/>
      <c r="F37" s="525"/>
      <c r="G37" s="526"/>
      <c r="H37" s="527"/>
      <c r="I37" s="527"/>
      <c r="J37" s="528"/>
      <c r="K37" s="528"/>
      <c r="L37" s="529"/>
    </row>
    <row r="38" spans="1:19" x14ac:dyDescent="0.25">
      <c r="A38" s="520" t="s">
        <v>393</v>
      </c>
      <c r="B38" s="530"/>
      <c r="C38" s="522"/>
      <c r="D38" s="523"/>
      <c r="E38" s="524"/>
      <c r="F38" s="525"/>
      <c r="G38" s="531"/>
      <c r="H38" s="527"/>
      <c r="I38" s="527"/>
      <c r="J38" s="528"/>
      <c r="K38" s="528"/>
      <c r="L38" s="529"/>
    </row>
    <row r="39" spans="1:19" x14ac:dyDescent="0.25">
      <c r="A39" s="520"/>
      <c r="B39" s="530"/>
      <c r="C39" s="522"/>
      <c r="D39" s="523"/>
      <c r="E39" s="524"/>
      <c r="F39" s="525"/>
      <c r="G39" s="531"/>
      <c r="H39" s="527"/>
      <c r="I39" s="527"/>
      <c r="J39" s="528"/>
      <c r="K39" s="528"/>
      <c r="L39" s="532"/>
    </row>
    <row r="40" spans="1:19" ht="39" x14ac:dyDescent="0.25">
      <c r="A40" s="520" t="s">
        <v>394</v>
      </c>
      <c r="B40" s="530"/>
      <c r="C40" s="523"/>
      <c r="D40" s="523"/>
      <c r="E40" s="524"/>
      <c r="F40" s="533"/>
      <c r="G40" s="526"/>
      <c r="H40" s="527"/>
      <c r="I40" s="527"/>
      <c r="J40" s="528"/>
      <c r="K40" s="528"/>
      <c r="L40" s="529"/>
      <c r="N40" s="106">
        <f>G34/15</f>
        <v>1353.05</v>
      </c>
      <c r="O40" s="544">
        <f>F34*N40</f>
        <v>3188.2474466891135</v>
      </c>
      <c r="Q40" s="544">
        <f>(O40/247)+10.8</f>
        <v>23.70788439955107</v>
      </c>
      <c r="S40" s="257"/>
    </row>
    <row r="41" spans="1:19" x14ac:dyDescent="0.25">
      <c r="A41" s="534" t="s">
        <v>395</v>
      </c>
      <c r="B41" s="535"/>
      <c r="C41" s="536"/>
      <c r="D41" s="536"/>
      <c r="E41" s="537"/>
      <c r="F41" s="538"/>
      <c r="G41" s="539"/>
      <c r="H41" s="540"/>
      <c r="I41" s="540"/>
      <c r="J41" s="540"/>
      <c r="K41" s="540"/>
      <c r="L41" s="541">
        <f>55279.69*7%</f>
        <v>3869.5783000000006</v>
      </c>
      <c r="O41" s="106"/>
      <c r="S41" s="257"/>
    </row>
    <row r="42" spans="1:19" ht="43.5" customHeight="1" thickBot="1" x14ac:dyDescent="0.3">
      <c r="A42" s="535"/>
      <c r="B42" s="535"/>
      <c r="C42" s="535"/>
      <c r="D42" s="535"/>
      <c r="E42" s="542">
        <f>E34+E35+E36+E37</f>
        <v>4199</v>
      </c>
      <c r="F42" s="542">
        <f>SUM(F34:F40)</f>
        <v>2.3563411896745232</v>
      </c>
      <c r="G42" s="535"/>
      <c r="H42" s="535"/>
      <c r="I42" s="535"/>
      <c r="J42" s="535"/>
      <c r="K42" s="535"/>
      <c r="L42" s="543">
        <f>SUM(L34:L41)</f>
        <v>66709.935474242418</v>
      </c>
      <c r="N42" s="106"/>
      <c r="O42" s="106">
        <f>L42/E42</f>
        <v>15.887100613060829</v>
      </c>
      <c r="Q42" s="544">
        <f>Q40*21%</f>
        <v>4.9786557239057245</v>
      </c>
    </row>
    <row r="43" spans="1:19" x14ac:dyDescent="0.25">
      <c r="O43">
        <f>O42*21%</f>
        <v>3.3362911287427739</v>
      </c>
    </row>
    <row r="44" spans="1:19" x14ac:dyDescent="0.25">
      <c r="O44">
        <f>18.6+3.9</f>
        <v>22.5</v>
      </c>
    </row>
    <row r="46" spans="1:19" x14ac:dyDescent="0.25">
      <c r="D46" s="106">
        <f>L34/E34</f>
        <v>14.965553030303031</v>
      </c>
      <c r="E46" s="106"/>
      <c r="F46" s="106"/>
      <c r="G46" s="106"/>
      <c r="I46" s="265">
        <f>L42/E42</f>
        <v>15.887100613060829</v>
      </c>
      <c r="N46" s="106">
        <f>L42/E42</f>
        <v>15.887100613060829</v>
      </c>
    </row>
    <row r="47" spans="1:19" x14ac:dyDescent="0.25">
      <c r="D47" s="106"/>
      <c r="E47" s="106"/>
      <c r="G47" s="265">
        <f>L42/E42</f>
        <v>15.887100613060829</v>
      </c>
      <c r="I47" s="265">
        <f>I46*21%</f>
        <v>3.3362911287427739</v>
      </c>
      <c r="J47" t="s">
        <v>396</v>
      </c>
      <c r="N47" s="106"/>
    </row>
    <row r="48" spans="1:19" x14ac:dyDescent="0.25">
      <c r="D48" s="106">
        <f>D46*20%</f>
        <v>2.9931106060606063</v>
      </c>
      <c r="E48" s="106"/>
      <c r="G48" s="265">
        <f>E47+G47</f>
        <v>15.887100613060829</v>
      </c>
      <c r="I48" s="265">
        <f>I46+I47</f>
        <v>19.223391741803603</v>
      </c>
      <c r="M48" t="s">
        <v>397</v>
      </c>
    </row>
    <row r="49" spans="4:17" x14ac:dyDescent="0.25">
      <c r="D49" s="106">
        <f>SUM(D46:D48)</f>
        <v>17.958663636363639</v>
      </c>
      <c r="E49" s="106"/>
      <c r="G49" s="265">
        <f>G48*21%</f>
        <v>3.3362911287427739</v>
      </c>
      <c r="H49" s="179">
        <v>0.21</v>
      </c>
      <c r="I49" s="265"/>
    </row>
    <row r="50" spans="4:17" x14ac:dyDescent="0.25">
      <c r="D50" s="106">
        <f>D46*2.5%</f>
        <v>0.37413882575757579</v>
      </c>
      <c r="E50" s="106"/>
      <c r="G50" s="265">
        <f>G48+G49</f>
        <v>19.223391741803603</v>
      </c>
      <c r="I50" s="265">
        <f>I48+I49</f>
        <v>19.223391741803603</v>
      </c>
    </row>
    <row r="51" spans="4:17" x14ac:dyDescent="0.25">
      <c r="D51" s="106">
        <f>D49+D50</f>
        <v>18.332802462121215</v>
      </c>
      <c r="E51" s="106"/>
      <c r="G51" s="265">
        <f>G50*5%</f>
        <v>0.96116958709018019</v>
      </c>
      <c r="I51" s="265">
        <f>I50*5%</f>
        <v>0.96116958709018019</v>
      </c>
      <c r="J51" t="s">
        <v>398</v>
      </c>
    </row>
    <row r="52" spans="4:17" x14ac:dyDescent="0.25">
      <c r="D52" s="106">
        <f>D51*21%</f>
        <v>3.8498885170454549</v>
      </c>
      <c r="E52" s="265"/>
      <c r="G52" s="265">
        <f>G50+G51</f>
        <v>20.184561328893782</v>
      </c>
      <c r="I52" s="265">
        <f>I46+I47+I49+I51</f>
        <v>20.184561328893782</v>
      </c>
    </row>
    <row r="53" spans="4:17" x14ac:dyDescent="0.25">
      <c r="D53" s="106">
        <f>D51+D52</f>
        <v>22.182690979166669</v>
      </c>
      <c r="P53">
        <f>4*5</f>
        <v>20</v>
      </c>
      <c r="Q53" t="s">
        <v>399</v>
      </c>
    </row>
    <row r="54" spans="4:17" x14ac:dyDescent="0.25">
      <c r="N54">
        <f>247*4</f>
        <v>988</v>
      </c>
      <c r="P54">
        <f>20*4</f>
        <v>80</v>
      </c>
      <c r="Q54" t="s">
        <v>400</v>
      </c>
    </row>
    <row r="55" spans="4:17" x14ac:dyDescent="0.25">
      <c r="N55">
        <f>N54*17.8</f>
        <v>17586.400000000001</v>
      </c>
      <c r="P55">
        <f>19*P54</f>
        <v>1520</v>
      </c>
    </row>
    <row r="57" spans="4:17" x14ac:dyDescent="0.25">
      <c r="P57">
        <f>80*19</f>
        <v>1520</v>
      </c>
    </row>
    <row r="58" spans="4:17" x14ac:dyDescent="0.25">
      <c r="P58">
        <f>P57*12</f>
        <v>18240</v>
      </c>
    </row>
  </sheetData>
  <mergeCells count="1">
    <mergeCell ref="W13:AE13"/>
  </mergeCells>
  <pageMargins left="0.7" right="0.7" top="0.75" bottom="0.75" header="0.3" footer="0.3"/>
  <pageSetup paperSize="9" orientation="portrait" verticalDpi="0" r:id="rId1"/>
  <customProperties>
    <customPr name="EpmWorksheetKeyString_GU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Q71"/>
  <sheetViews>
    <sheetView topLeftCell="B4" zoomScale="115" zoomScaleNormal="115" workbookViewId="0">
      <selection activeCell="D57" sqref="D57:E59"/>
    </sheetView>
  </sheetViews>
  <sheetFormatPr defaultRowHeight="15" x14ac:dyDescent="0.25"/>
  <cols>
    <col min="1" max="1" width="8.7109375" style="284"/>
    <col min="2" max="2" width="6.7109375" bestFit="1" customWidth="1"/>
    <col min="3" max="3" width="62.140625" bestFit="1" customWidth="1"/>
    <col min="4" max="4" width="17.85546875" bestFit="1" customWidth="1"/>
    <col min="5" max="5" width="17.85546875" customWidth="1"/>
    <col min="6" max="6" width="20.42578125" bestFit="1" customWidth="1"/>
    <col min="7" max="7" width="16.42578125" bestFit="1" customWidth="1"/>
    <col min="8" max="8" width="16.85546875" style="284" bestFit="1" customWidth="1"/>
    <col min="9" max="9" width="53.7109375" customWidth="1"/>
  </cols>
  <sheetData>
    <row r="2" spans="1:17" ht="15.75" thickBot="1" x14ac:dyDescent="0.3"/>
    <row r="3" spans="1:17" s="309" customFormat="1" ht="21" x14ac:dyDescent="0.35">
      <c r="A3" s="310"/>
      <c r="C3" s="1708" t="s">
        <v>280</v>
      </c>
      <c r="D3" s="1709"/>
      <c r="E3" s="1709"/>
      <c r="F3" s="1709"/>
      <c r="G3" s="1709"/>
      <c r="H3" s="1709"/>
      <c r="I3" s="1710"/>
    </row>
    <row r="4" spans="1:17" s="309" customFormat="1" ht="21.75" thickBot="1" x14ac:dyDescent="0.4">
      <c r="A4" s="310"/>
      <c r="C4" s="1711"/>
      <c r="D4" s="1712"/>
      <c r="E4" s="1712"/>
      <c r="F4" s="1712"/>
      <c r="G4" s="1712"/>
      <c r="H4" s="1712"/>
      <c r="I4" s="1713"/>
    </row>
    <row r="5" spans="1:17" ht="15.75" thickBot="1" x14ac:dyDescent="0.3"/>
    <row r="6" spans="1:17" ht="15.75" thickBot="1" x14ac:dyDescent="0.3">
      <c r="A6" s="298">
        <v>1</v>
      </c>
      <c r="B6" s="306" t="s">
        <v>258</v>
      </c>
      <c r="C6" s="308" t="s">
        <v>264</v>
      </c>
      <c r="D6" s="367" t="s">
        <v>254</v>
      </c>
      <c r="E6" s="367"/>
      <c r="F6" s="367" t="s">
        <v>253</v>
      </c>
      <c r="G6" s="367" t="s">
        <v>252</v>
      </c>
      <c r="H6" s="367" t="s">
        <v>251</v>
      </c>
      <c r="I6" s="304" t="s">
        <v>262</v>
      </c>
    </row>
    <row r="7" spans="1:17" x14ac:dyDescent="0.25">
      <c r="C7" s="583" t="s">
        <v>66</v>
      </c>
      <c r="D7" s="584">
        <f>'TAULA MARE'!$V$21</f>
        <v>40712.894039999999</v>
      </c>
      <c r="E7" s="584"/>
      <c r="F7" s="318">
        <v>39105.254999999997</v>
      </c>
      <c r="G7" s="318">
        <f t="shared" ref="G7:G30" si="0">D7-F7</f>
        <v>1607.6390400000018</v>
      </c>
      <c r="H7" s="319">
        <f>(D7/F7)-1</f>
        <v>4.1110562761961233E-2</v>
      </c>
      <c r="I7" s="585"/>
      <c r="K7" t="s">
        <v>265</v>
      </c>
      <c r="M7">
        <v>1700</v>
      </c>
      <c r="N7">
        <v>1</v>
      </c>
      <c r="O7">
        <v>29513.4</v>
      </c>
      <c r="P7">
        <v>39105.254999999997</v>
      </c>
      <c r="Q7">
        <v>39105.254999999997</v>
      </c>
    </row>
    <row r="8" spans="1:17" x14ac:dyDescent="0.25">
      <c r="C8" s="363" t="s">
        <v>43</v>
      </c>
      <c r="D8" s="369">
        <f>'TAULA MARE'!V22</f>
        <v>2035.6447020000003</v>
      </c>
      <c r="E8" s="369"/>
      <c r="F8" s="301">
        <v>1955.26</v>
      </c>
      <c r="G8" s="301">
        <f t="shared" si="0"/>
        <v>80.384702000000289</v>
      </c>
      <c r="H8" s="307">
        <f t="shared" ref="H8:H30" si="1">(D8/F8)-1</f>
        <v>4.1112027044996724E-2</v>
      </c>
      <c r="I8" s="326"/>
      <c r="K8" t="s">
        <v>266</v>
      </c>
    </row>
    <row r="9" spans="1:17" x14ac:dyDescent="0.25">
      <c r="C9" s="363" t="s">
        <v>281</v>
      </c>
      <c r="D9" s="368">
        <f>'TAULA MARE'!V23</f>
        <v>2544.5558775</v>
      </c>
      <c r="E9" s="368"/>
      <c r="F9" s="46">
        <v>3910.53</v>
      </c>
      <c r="G9" s="301">
        <f t="shared" si="0"/>
        <v>-1365.9741225000002</v>
      </c>
      <c r="H9" s="307">
        <f t="shared" si="1"/>
        <v>-0.34930664705295711</v>
      </c>
      <c r="I9" s="372"/>
    </row>
    <row r="10" spans="1:17" ht="30" x14ac:dyDescent="0.25">
      <c r="C10" s="590" t="s">
        <v>67</v>
      </c>
      <c r="D10" s="591">
        <f>'TAULA MARE'!$V$30</f>
        <v>130838.01119999999</v>
      </c>
      <c r="E10" s="591"/>
      <c r="F10" s="592">
        <v>66030.951000000001</v>
      </c>
      <c r="G10" s="592">
        <f t="shared" si="0"/>
        <v>64807.060199999993</v>
      </c>
      <c r="H10" s="593">
        <f t="shared" si="1"/>
        <v>0.98146489212308929</v>
      </c>
      <c r="I10" s="594" t="s">
        <v>411</v>
      </c>
      <c r="K10" t="s">
        <v>267</v>
      </c>
      <c r="M10">
        <v>27200</v>
      </c>
      <c r="N10">
        <v>16</v>
      </c>
      <c r="O10">
        <v>20639.22</v>
      </c>
      <c r="P10">
        <v>27346.966500000002</v>
      </c>
      <c r="Q10">
        <v>437551.46400000004</v>
      </c>
    </row>
    <row r="11" spans="1:17" ht="30" x14ac:dyDescent="0.25">
      <c r="C11" s="363" t="s">
        <v>43</v>
      </c>
      <c r="D11" s="369">
        <f>'TAULA MARE'!$V$31</f>
        <v>3270.9502799999996</v>
      </c>
      <c r="E11" s="369"/>
      <c r="F11" s="301">
        <v>1320.62</v>
      </c>
      <c r="G11" s="301">
        <f t="shared" si="0"/>
        <v>1950.3302799999997</v>
      </c>
      <c r="H11" s="307">
        <f t="shared" si="1"/>
        <v>1.4768292771576985</v>
      </c>
      <c r="I11" s="595" t="s">
        <v>412</v>
      </c>
      <c r="K11" t="s">
        <v>268</v>
      </c>
      <c r="M11">
        <v>29895.495495495499</v>
      </c>
      <c r="N11">
        <v>17.585585585585587</v>
      </c>
      <c r="O11">
        <v>20639.22</v>
      </c>
      <c r="P11">
        <v>27346.966500000002</v>
      </c>
      <c r="Q11">
        <v>480912.419891892</v>
      </c>
    </row>
    <row r="12" spans="1:17" ht="30" x14ac:dyDescent="0.25">
      <c r="C12" s="364" t="s">
        <v>281</v>
      </c>
      <c r="D12" s="369">
        <f>'TAULA MARE'!$V$32</f>
        <v>10467.040896</v>
      </c>
      <c r="E12" s="369"/>
      <c r="F12" s="301">
        <v>6603.1</v>
      </c>
      <c r="G12" s="301">
        <f t="shared" si="0"/>
        <v>3863.9408960000001</v>
      </c>
      <c r="H12" s="307">
        <f t="shared" si="1"/>
        <v>0.58517073738092718</v>
      </c>
      <c r="I12" s="595" t="s">
        <v>413</v>
      </c>
    </row>
    <row r="13" spans="1:17" ht="30" x14ac:dyDescent="0.25">
      <c r="C13" s="364" t="s">
        <v>408</v>
      </c>
      <c r="D13" s="369">
        <f>'TAULA MARE'!$V$33</f>
        <v>2957.08608</v>
      </c>
      <c r="E13" s="369"/>
      <c r="F13" s="301">
        <v>3902</v>
      </c>
      <c r="G13" s="301">
        <f t="shared" si="0"/>
        <v>-944.91391999999996</v>
      </c>
      <c r="H13" s="307">
        <f t="shared" si="1"/>
        <v>-0.24216143516145561</v>
      </c>
      <c r="I13" s="595" t="s">
        <v>409</v>
      </c>
    </row>
    <row r="14" spans="1:17" ht="30" x14ac:dyDescent="0.25">
      <c r="C14" s="586" t="s">
        <v>122</v>
      </c>
      <c r="D14" s="587">
        <f>'TAULA MARE'!V29</f>
        <v>2081475.9069529336</v>
      </c>
      <c r="E14" s="587"/>
      <c r="F14" s="588">
        <v>1090675.8621216216</v>
      </c>
      <c r="G14" s="588">
        <f t="shared" si="0"/>
        <v>990800.04483131203</v>
      </c>
      <c r="H14" s="589">
        <f t="shared" si="1"/>
        <v>0.90842758993856565</v>
      </c>
      <c r="I14" s="596" t="s">
        <v>410</v>
      </c>
      <c r="K14" t="s">
        <v>269</v>
      </c>
      <c r="M14">
        <v>5100</v>
      </c>
      <c r="N14">
        <v>3</v>
      </c>
      <c r="O14">
        <v>20639.22</v>
      </c>
      <c r="P14">
        <v>27346.966500000002</v>
      </c>
      <c r="Q14">
        <v>82040.8995</v>
      </c>
    </row>
    <row r="15" spans="1:17" x14ac:dyDescent="0.25">
      <c r="C15" s="364" t="s">
        <v>43</v>
      </c>
      <c r="D15" s="369">
        <f>'TAULA MARE'!V31</f>
        <v>3270.9502799999996</v>
      </c>
      <c r="E15" s="369"/>
      <c r="F15" s="301">
        <v>21813.62</v>
      </c>
      <c r="G15" s="301">
        <f t="shared" si="0"/>
        <v>-18542.669719999998</v>
      </c>
      <c r="H15" s="307">
        <f t="shared" si="1"/>
        <v>-0.85005009347371052</v>
      </c>
      <c r="I15" s="373"/>
      <c r="K15" t="s">
        <v>270</v>
      </c>
      <c r="M15">
        <v>5605.4054054054059</v>
      </c>
      <c r="N15">
        <v>3.2972972972972974</v>
      </c>
      <c r="O15">
        <v>20639.22</v>
      </c>
      <c r="P15">
        <v>27346.966500000002</v>
      </c>
      <c r="Q15">
        <v>90171.078729729736</v>
      </c>
    </row>
    <row r="16" spans="1:17" x14ac:dyDescent="0.25">
      <c r="C16" s="364"/>
      <c r="D16" s="369"/>
      <c r="E16" s="369"/>
      <c r="F16" s="301"/>
      <c r="G16" s="301"/>
      <c r="H16" s="307"/>
      <c r="I16" s="373"/>
    </row>
    <row r="17" spans="3:17" x14ac:dyDescent="0.25">
      <c r="C17" s="363" t="s">
        <v>281</v>
      </c>
      <c r="D17" s="369">
        <f>'TAULA MARE'!V32</f>
        <v>10467.040896</v>
      </c>
      <c r="E17" s="369"/>
      <c r="F17" s="301">
        <v>109067.59</v>
      </c>
      <c r="G17" s="301">
        <f t="shared" si="0"/>
        <v>-98600.549103999991</v>
      </c>
      <c r="H17" s="307">
        <f t="shared" si="1"/>
        <v>-0.90403161107713115</v>
      </c>
      <c r="I17" s="373"/>
    </row>
    <row r="18" spans="3:17" x14ac:dyDescent="0.25">
      <c r="C18" s="364" t="s">
        <v>123</v>
      </c>
      <c r="D18" s="369">
        <f>'TAULA MARE'!V42</f>
        <v>205981.55198244</v>
      </c>
      <c r="E18" s="369"/>
      <c r="F18" s="318"/>
      <c r="G18" s="318">
        <f t="shared" si="0"/>
        <v>205981.55198244</v>
      </c>
      <c r="H18" s="319"/>
      <c r="I18" s="373"/>
      <c r="K18" t="s">
        <v>271</v>
      </c>
    </row>
    <row r="19" spans="3:17" x14ac:dyDescent="0.25">
      <c r="C19" s="364" t="s">
        <v>283</v>
      </c>
      <c r="D19" s="369">
        <f>'TAULA MARE'!V43</f>
        <v>4119.6310396487997</v>
      </c>
      <c r="E19" s="369"/>
      <c r="F19" s="318"/>
      <c r="G19" s="318">
        <f t="shared" si="0"/>
        <v>4119.6310396487997</v>
      </c>
      <c r="H19" s="319"/>
      <c r="I19" s="373">
        <f>127475.81+26551.96</f>
        <v>154027.76999999999</v>
      </c>
    </row>
    <row r="20" spans="3:17" x14ac:dyDescent="0.25">
      <c r="C20" s="364" t="s">
        <v>281</v>
      </c>
      <c r="D20" s="369">
        <f>'TAULA MARE'!V44</f>
        <v>62136.214775999993</v>
      </c>
      <c r="E20" s="369"/>
      <c r="F20" s="318"/>
      <c r="G20" s="318">
        <f t="shared" si="0"/>
        <v>62136.214775999993</v>
      </c>
      <c r="H20" s="319"/>
      <c r="I20" s="374"/>
    </row>
    <row r="21" spans="3:17" x14ac:dyDescent="0.25">
      <c r="C21" s="364" t="s">
        <v>124</v>
      </c>
      <c r="D21" s="369">
        <f>'TAULA MARE'!V58</f>
        <v>430616.48613704758</v>
      </c>
      <c r="E21" s="369"/>
      <c r="F21" s="301">
        <v>109067.59</v>
      </c>
      <c r="G21" s="301">
        <f t="shared" si="0"/>
        <v>321548.89613704756</v>
      </c>
      <c r="H21" s="307">
        <f t="shared" si="1"/>
        <v>2.9481617420633168</v>
      </c>
      <c r="I21" s="375"/>
      <c r="K21" t="s">
        <v>272</v>
      </c>
      <c r="M21">
        <v>6800</v>
      </c>
      <c r="N21">
        <v>4</v>
      </c>
      <c r="O21">
        <v>20639.22</v>
      </c>
      <c r="P21">
        <v>27346.966500000002</v>
      </c>
      <c r="Q21">
        <v>109387.86600000001</v>
      </c>
    </row>
    <row r="22" spans="3:17" x14ac:dyDescent="0.25">
      <c r="C22" s="364" t="s">
        <v>125</v>
      </c>
      <c r="D22" s="369">
        <f>'TAULA MARE'!V61</f>
        <v>23605.293717719996</v>
      </c>
      <c r="E22" s="369"/>
      <c r="F22" s="301">
        <v>19735.39</v>
      </c>
      <c r="G22" s="301">
        <f t="shared" si="0"/>
        <v>3869.9037177199971</v>
      </c>
      <c r="H22" s="307">
        <f t="shared" si="1"/>
        <v>0.19608954865953998</v>
      </c>
      <c r="I22" s="376">
        <f>I21*5%</f>
        <v>0</v>
      </c>
      <c r="K22" t="s">
        <v>273</v>
      </c>
      <c r="M22">
        <v>1226.8333333333333</v>
      </c>
      <c r="N22">
        <v>0.72166666666666657</v>
      </c>
      <c r="O22">
        <v>20639.22</v>
      </c>
      <c r="P22">
        <v>27346.966500000002</v>
      </c>
      <c r="Q22">
        <v>19735.394157499999</v>
      </c>
    </row>
    <row r="23" spans="3:17" x14ac:dyDescent="0.25">
      <c r="C23" s="364" t="s">
        <v>128</v>
      </c>
      <c r="D23" s="369">
        <f>'TAULA MARE'!V62</f>
        <v>88785.300240000011</v>
      </c>
      <c r="E23" s="369"/>
      <c r="F23" s="301"/>
      <c r="G23" s="301">
        <f t="shared" si="0"/>
        <v>88785.300240000011</v>
      </c>
      <c r="H23" s="319"/>
      <c r="I23" s="374"/>
      <c r="K23" t="s">
        <v>274</v>
      </c>
    </row>
    <row r="24" spans="3:17" x14ac:dyDescent="0.25">
      <c r="C24" s="364" t="s">
        <v>126</v>
      </c>
      <c r="D24" s="369">
        <f>'TAULA MARE'!V63</f>
        <v>65419.005599999997</v>
      </c>
      <c r="E24" s="369"/>
      <c r="F24" s="301">
        <v>61013.18</v>
      </c>
      <c r="G24" s="301">
        <f t="shared" si="0"/>
        <v>4405.8255999999965</v>
      </c>
      <c r="H24" s="307">
        <f t="shared" si="1"/>
        <v>7.221104685905555E-2</v>
      </c>
      <c r="I24" s="374"/>
      <c r="K24" t="s">
        <v>275</v>
      </c>
      <c r="M24">
        <v>3400</v>
      </c>
      <c r="N24">
        <v>2</v>
      </c>
      <c r="O24">
        <v>23023.84</v>
      </c>
      <c r="P24">
        <v>30506.588</v>
      </c>
      <c r="Q24">
        <v>61013.175999999999</v>
      </c>
    </row>
    <row r="25" spans="3:17" x14ac:dyDescent="0.25">
      <c r="C25" s="364" t="s">
        <v>127</v>
      </c>
      <c r="D25" s="369">
        <f>'TAULA MARE'!V64</f>
        <v>32709.502799999998</v>
      </c>
      <c r="E25" s="369"/>
      <c r="F25" s="301">
        <v>30506.59</v>
      </c>
      <c r="G25" s="301">
        <f t="shared" si="0"/>
        <v>2202.9127999999982</v>
      </c>
      <c r="H25" s="307">
        <f t="shared" si="1"/>
        <v>7.221104685905555E-2</v>
      </c>
      <c r="I25" s="377"/>
      <c r="K25" t="s">
        <v>276</v>
      </c>
      <c r="M25">
        <v>1700</v>
      </c>
      <c r="N25">
        <v>1</v>
      </c>
      <c r="O25">
        <v>23023.84</v>
      </c>
      <c r="P25">
        <v>30506.588</v>
      </c>
      <c r="Q25">
        <v>30506.588</v>
      </c>
    </row>
    <row r="26" spans="3:17" x14ac:dyDescent="0.25">
      <c r="C26" s="364" t="s">
        <v>129</v>
      </c>
      <c r="D26" s="369">
        <f>'TAULA MARE'!V65</f>
        <v>59189.987999999998</v>
      </c>
      <c r="E26" s="369"/>
      <c r="F26" s="301">
        <f>48335.74*2</f>
        <v>96671.48</v>
      </c>
      <c r="G26" s="301">
        <f t="shared" si="0"/>
        <v>-37481.491999999998</v>
      </c>
      <c r="H26" s="307">
        <f t="shared" si="1"/>
        <v>-0.38772026661844838</v>
      </c>
      <c r="I26" s="327"/>
      <c r="K26" t="s">
        <v>277</v>
      </c>
      <c r="M26">
        <v>3400</v>
      </c>
      <c r="N26">
        <v>2</v>
      </c>
      <c r="O26">
        <v>18239.900000000001</v>
      </c>
      <c r="P26">
        <v>24167.8675</v>
      </c>
      <c r="Q26">
        <v>48335.735000000001</v>
      </c>
    </row>
    <row r="27" spans="3:17" x14ac:dyDescent="0.25">
      <c r="C27" s="365" t="s">
        <v>130</v>
      </c>
      <c r="D27" s="368">
        <f>'TAULA MARE'!V66</f>
        <v>25918.128599999996</v>
      </c>
      <c r="E27" s="368"/>
      <c r="F27" s="320">
        <v>24167.67</v>
      </c>
      <c r="G27" s="320">
        <f t="shared" si="0"/>
        <v>1750.4585999999981</v>
      </c>
      <c r="H27" s="321">
        <f t="shared" si="1"/>
        <v>7.2429762571236678E-2</v>
      </c>
      <c r="I27" s="325"/>
      <c r="K27" t="s">
        <v>277</v>
      </c>
      <c r="M27">
        <v>3400</v>
      </c>
      <c r="N27">
        <v>2</v>
      </c>
      <c r="O27">
        <v>18239.900000000001</v>
      </c>
      <c r="P27">
        <v>24167.8675</v>
      </c>
      <c r="Q27">
        <v>48335.735000000001</v>
      </c>
    </row>
    <row r="28" spans="3:17" x14ac:dyDescent="0.25">
      <c r="C28" s="322" t="s">
        <v>284</v>
      </c>
      <c r="D28" s="370">
        <f>'TAULA MARE'!V75</f>
        <v>136661.62938392468</v>
      </c>
      <c r="E28" s="370"/>
      <c r="F28" s="320">
        <f>88829.64+19816.29</f>
        <v>108645.93</v>
      </c>
      <c r="G28" s="320">
        <f t="shared" si="0"/>
        <v>28015.699383924686</v>
      </c>
      <c r="H28" s="321">
        <f t="shared" si="1"/>
        <v>0.25786239193612404</v>
      </c>
      <c r="I28" s="325"/>
    </row>
    <row r="29" spans="3:17" x14ac:dyDescent="0.25">
      <c r="C29" s="323" t="s">
        <v>286</v>
      </c>
      <c r="D29" s="370">
        <f>'TAULA MARE'!V76</f>
        <v>48082.961406777846</v>
      </c>
      <c r="E29" s="370"/>
      <c r="F29" s="320">
        <v>31712.6</v>
      </c>
      <c r="G29" s="320">
        <f t="shared" si="0"/>
        <v>16370.361406777847</v>
      </c>
      <c r="H29" s="321">
        <f t="shared" si="1"/>
        <v>0.51621000506984127</v>
      </c>
      <c r="I29" s="325"/>
    </row>
    <row r="30" spans="3:17" x14ac:dyDescent="0.25">
      <c r="C30" s="365" t="s">
        <v>285</v>
      </c>
      <c r="D30" s="370"/>
      <c r="E30" s="370"/>
      <c r="F30" s="320">
        <v>154027.79</v>
      </c>
      <c r="G30" s="320">
        <f t="shared" si="0"/>
        <v>-154027.79</v>
      </c>
      <c r="H30" s="321">
        <f t="shared" si="1"/>
        <v>-1</v>
      </c>
      <c r="I30" s="379"/>
    </row>
    <row r="31" spans="3:17" x14ac:dyDescent="0.25">
      <c r="C31" s="365" t="s">
        <v>287</v>
      </c>
      <c r="D31" s="370"/>
      <c r="E31" s="370"/>
      <c r="F31" s="320">
        <v>181633.85</v>
      </c>
      <c r="G31" s="320"/>
      <c r="H31" s="321"/>
      <c r="I31" s="379"/>
    </row>
    <row r="32" spans="3:17" x14ac:dyDescent="0.25">
      <c r="D32" s="370"/>
      <c r="E32" s="370"/>
      <c r="F32" s="320"/>
      <c r="G32" s="320"/>
      <c r="H32" s="321"/>
      <c r="I32" s="379"/>
    </row>
    <row r="33" spans="1:17" s="257" customFormat="1" ht="15.75" thickBot="1" x14ac:dyDescent="0.3">
      <c r="A33" s="298"/>
      <c r="C33" s="366" t="s">
        <v>43</v>
      </c>
      <c r="D33" s="370">
        <f>SUM(D7:D30)</f>
        <v>3471265.7748879921</v>
      </c>
      <c r="E33" s="370"/>
      <c r="F33" s="371">
        <f>SUM(F7:F31)</f>
        <v>2161566.8581216219</v>
      </c>
      <c r="G33" s="371">
        <f>D33-F33</f>
        <v>1309698.9167663702</v>
      </c>
      <c r="H33" s="378">
        <f>(D33/F33)-1</f>
        <v>0.60590257101947076</v>
      </c>
      <c r="I33" s="380" t="s">
        <v>288</v>
      </c>
      <c r="K33" s="257" t="s">
        <v>278</v>
      </c>
      <c r="M33" s="257">
        <v>3400</v>
      </c>
      <c r="N33" s="257">
        <v>2</v>
      </c>
      <c r="O33" s="257">
        <v>18239.900000000001</v>
      </c>
      <c r="P33" s="257">
        <v>24167.8675</v>
      </c>
      <c r="Q33" s="257">
        <v>48335.735000000001</v>
      </c>
    </row>
    <row r="34" spans="1:17" x14ac:dyDescent="0.25">
      <c r="D34" s="20"/>
      <c r="E34" s="20"/>
      <c r="F34" s="346"/>
      <c r="G34" s="342"/>
      <c r="K34" t="s">
        <v>279</v>
      </c>
      <c r="M34">
        <v>1700</v>
      </c>
      <c r="N34">
        <v>1</v>
      </c>
      <c r="O34">
        <v>18239.900000000001</v>
      </c>
      <c r="P34">
        <v>24167.8675</v>
      </c>
      <c r="Q34">
        <v>24167.8675</v>
      </c>
    </row>
    <row r="35" spans="1:17" ht="15.75" thickBot="1" x14ac:dyDescent="0.3"/>
    <row r="36" spans="1:17" ht="15.75" thickBot="1" x14ac:dyDescent="0.3">
      <c r="A36" s="298">
        <v>2</v>
      </c>
      <c r="B36" s="306" t="s">
        <v>258</v>
      </c>
      <c r="C36" s="305" t="s">
        <v>263</v>
      </c>
      <c r="D36" s="304" t="s">
        <v>254</v>
      </c>
      <c r="E36" s="304"/>
      <c r="F36" s="304" t="s">
        <v>253</v>
      </c>
      <c r="G36" s="304" t="s">
        <v>252</v>
      </c>
      <c r="H36" s="304" t="s">
        <v>251</v>
      </c>
      <c r="I36" s="304" t="s">
        <v>262</v>
      </c>
    </row>
    <row r="37" spans="1:17" ht="15.75" thickBot="1" x14ac:dyDescent="0.3">
      <c r="A37" s="298"/>
      <c r="B37" s="257"/>
      <c r="C37" s="343" t="s">
        <v>289</v>
      </c>
      <c r="D37" s="312"/>
      <c r="E37" s="312"/>
      <c r="F37" s="324">
        <v>100000</v>
      </c>
      <c r="G37" s="344"/>
      <c r="H37" s="344"/>
      <c r="I37" s="344"/>
    </row>
    <row r="38" spans="1:17" x14ac:dyDescent="0.25">
      <c r="A38" s="298"/>
      <c r="B38" s="257"/>
      <c r="C38" s="343" t="s">
        <v>290</v>
      </c>
      <c r="D38" s="312"/>
      <c r="E38" s="312"/>
      <c r="F38" s="324">
        <v>50000</v>
      </c>
      <c r="G38" s="344"/>
      <c r="H38" s="344"/>
      <c r="I38" s="344"/>
    </row>
    <row r="39" spans="1:17" x14ac:dyDescent="0.25">
      <c r="C39" s="360" t="s">
        <v>132</v>
      </c>
      <c r="D39" s="341"/>
      <c r="E39" s="341"/>
      <c r="F39" s="301">
        <v>26400</v>
      </c>
      <c r="G39" s="301">
        <f t="shared" ref="G39:G49" si="2">D39-F39</f>
        <v>-26400</v>
      </c>
      <c r="H39" s="300">
        <f>(D39/F39)-1</f>
        <v>-1</v>
      </c>
      <c r="I39" s="299" t="s">
        <v>260</v>
      </c>
    </row>
    <row r="40" spans="1:17" x14ac:dyDescent="0.25">
      <c r="C40" s="277" t="s">
        <v>133</v>
      </c>
      <c r="D40" s="341"/>
      <c r="E40" s="341"/>
      <c r="F40" s="301">
        <v>13200</v>
      </c>
      <c r="G40" s="301">
        <f t="shared" si="2"/>
        <v>-13200</v>
      </c>
      <c r="H40" s="300">
        <f>(D40/F40)-1</f>
        <v>-1</v>
      </c>
      <c r="I40" s="299" t="s">
        <v>260</v>
      </c>
    </row>
    <row r="41" spans="1:17" ht="15.75" thickBot="1" x14ac:dyDescent="0.3">
      <c r="C41" s="276" t="s">
        <v>136</v>
      </c>
      <c r="D41" s="340"/>
      <c r="E41" s="340"/>
      <c r="F41" s="301">
        <v>0</v>
      </c>
      <c r="G41" s="301">
        <f t="shared" si="2"/>
        <v>0</v>
      </c>
      <c r="H41" s="300"/>
      <c r="I41" s="299" t="s">
        <v>260</v>
      </c>
    </row>
    <row r="42" spans="1:17" x14ac:dyDescent="0.25">
      <c r="C42" s="303" t="s">
        <v>134</v>
      </c>
      <c r="D42" s="312"/>
      <c r="E42" s="312"/>
      <c r="F42" s="301">
        <v>22000</v>
      </c>
      <c r="G42" s="301">
        <f t="shared" si="2"/>
        <v>-22000</v>
      </c>
      <c r="H42" s="300">
        <f>(D42/F42)-1</f>
        <v>-1</v>
      </c>
      <c r="I42" s="299" t="s">
        <v>260</v>
      </c>
    </row>
    <row r="43" spans="1:17" x14ac:dyDescent="0.25">
      <c r="C43" s="302" t="s">
        <v>135</v>
      </c>
      <c r="D43" s="312"/>
      <c r="E43" s="312"/>
      <c r="F43" s="301">
        <v>0</v>
      </c>
      <c r="G43" s="301">
        <f t="shared" si="2"/>
        <v>0</v>
      </c>
      <c r="H43" s="300"/>
      <c r="I43" s="299" t="s">
        <v>260</v>
      </c>
    </row>
    <row r="44" spans="1:17" x14ac:dyDescent="0.25">
      <c r="C44" s="302" t="s">
        <v>226</v>
      </c>
      <c r="D44" s="311"/>
      <c r="E44" s="311"/>
      <c r="F44" s="301">
        <v>0</v>
      </c>
      <c r="G44" s="301">
        <f t="shared" si="2"/>
        <v>0</v>
      </c>
      <c r="H44" s="300"/>
      <c r="I44" s="299" t="s">
        <v>260</v>
      </c>
    </row>
    <row r="45" spans="1:17" x14ac:dyDescent="0.25">
      <c r="C45" s="302" t="s">
        <v>204</v>
      </c>
      <c r="D45" s="312"/>
      <c r="E45" s="312"/>
      <c r="F45" s="301">
        <v>0</v>
      </c>
      <c r="G45" s="301">
        <f t="shared" si="2"/>
        <v>0</v>
      </c>
      <c r="H45" s="300"/>
      <c r="I45" s="299" t="s">
        <v>260</v>
      </c>
    </row>
    <row r="46" spans="1:17" x14ac:dyDescent="0.25">
      <c r="C46" s="302" t="s">
        <v>234</v>
      </c>
      <c r="D46" s="312"/>
      <c r="E46" s="312"/>
      <c r="F46" s="301">
        <v>0</v>
      </c>
      <c r="G46" s="301">
        <f t="shared" si="2"/>
        <v>0</v>
      </c>
      <c r="H46" s="300"/>
      <c r="I46" s="299" t="s">
        <v>260</v>
      </c>
    </row>
    <row r="47" spans="1:17" x14ac:dyDescent="0.25">
      <c r="C47" s="302" t="s">
        <v>157</v>
      </c>
      <c r="D47" s="312"/>
      <c r="E47" s="312"/>
      <c r="F47" s="301">
        <v>2000</v>
      </c>
      <c r="G47" s="301">
        <f t="shared" si="2"/>
        <v>-2000</v>
      </c>
      <c r="H47" s="300">
        <f>(D47/F47)-1</f>
        <v>-1</v>
      </c>
      <c r="I47" s="299" t="s">
        <v>260</v>
      </c>
    </row>
    <row r="48" spans="1:17" x14ac:dyDescent="0.25">
      <c r="C48" s="302" t="s">
        <v>158</v>
      </c>
      <c r="D48" s="312"/>
      <c r="E48" s="312"/>
      <c r="F48" s="301">
        <v>6610</v>
      </c>
      <c r="G48" s="301">
        <f t="shared" si="2"/>
        <v>-6610</v>
      </c>
      <c r="H48" s="300">
        <f>(D48/F48)-1</f>
        <v>-1</v>
      </c>
      <c r="I48" s="299" t="s">
        <v>260</v>
      </c>
    </row>
    <row r="49" spans="1:9" x14ac:dyDescent="0.25">
      <c r="C49" s="302" t="s">
        <v>55</v>
      </c>
      <c r="D49" s="312"/>
      <c r="E49" s="312"/>
      <c r="F49" s="301">
        <v>0</v>
      </c>
      <c r="G49" s="301">
        <f t="shared" si="2"/>
        <v>0</v>
      </c>
      <c r="H49" s="300"/>
      <c r="I49" s="299" t="s">
        <v>260</v>
      </c>
    </row>
    <row r="50" spans="1:9" x14ac:dyDescent="0.25">
      <c r="C50" s="363" t="s">
        <v>137</v>
      </c>
      <c r="D50" s="370"/>
      <c r="E50" s="370"/>
      <c r="F50" s="301"/>
      <c r="G50" s="301"/>
      <c r="H50" s="314"/>
      <c r="I50" s="299"/>
    </row>
    <row r="51" spans="1:9" x14ac:dyDescent="0.25">
      <c r="C51" s="363" t="s">
        <v>56</v>
      </c>
      <c r="D51" s="370"/>
      <c r="E51" s="370"/>
      <c r="F51" s="301"/>
      <c r="G51" s="301"/>
      <c r="H51" s="314"/>
      <c r="I51" s="299"/>
    </row>
    <row r="52" spans="1:9" ht="15.75" thickBot="1" x14ac:dyDescent="0.3">
      <c r="C52" s="709" t="s">
        <v>261</v>
      </c>
      <c r="D52" s="370"/>
      <c r="E52" s="370"/>
      <c r="F52" s="301"/>
      <c r="G52" s="301"/>
      <c r="H52" s="314"/>
      <c r="I52" s="299"/>
    </row>
    <row r="53" spans="1:9" ht="15.75" thickBot="1" x14ac:dyDescent="0.3">
      <c r="C53" s="710" t="s">
        <v>245</v>
      </c>
      <c r="D53" s="370"/>
      <c r="E53" s="370"/>
      <c r="F53" s="301"/>
      <c r="G53" s="301"/>
      <c r="H53" s="314"/>
      <c r="I53" s="299"/>
    </row>
    <row r="54" spans="1:9" ht="15.75" thickBot="1" x14ac:dyDescent="0.3">
      <c r="C54" s="710" t="s">
        <v>142</v>
      </c>
      <c r="D54" s="370"/>
      <c r="E54" s="370"/>
      <c r="F54" s="301"/>
      <c r="G54" s="301"/>
      <c r="H54" s="314"/>
      <c r="I54" s="299"/>
    </row>
    <row r="55" spans="1:9" ht="15.75" thickBot="1" x14ac:dyDescent="0.3">
      <c r="C55" s="710" t="s">
        <v>147</v>
      </c>
      <c r="D55" s="370"/>
      <c r="E55" s="370"/>
      <c r="F55" s="301"/>
      <c r="G55" s="301"/>
      <c r="H55" s="314"/>
      <c r="I55" s="299"/>
    </row>
    <row r="56" spans="1:9" ht="15.75" thickBot="1" x14ac:dyDescent="0.3">
      <c r="C56" s="710" t="s">
        <v>151</v>
      </c>
      <c r="D56" s="370"/>
      <c r="E56" s="370"/>
      <c r="F56" s="301"/>
      <c r="G56" s="301"/>
      <c r="H56" s="314"/>
      <c r="I56" s="299"/>
    </row>
    <row r="57" spans="1:9" s="257" customFormat="1" x14ac:dyDescent="0.25">
      <c r="A57" s="298"/>
      <c r="C57" s="882" t="s">
        <v>228</v>
      </c>
      <c r="D57" s="312"/>
      <c r="E57" s="312"/>
      <c r="F57" s="883">
        <f>SUM(F39:F49)</f>
        <v>70210</v>
      </c>
      <c r="G57" s="884">
        <f>D57-F57</f>
        <v>-70210</v>
      </c>
      <c r="H57" s="885">
        <f>(D57/F57)-1</f>
        <v>-1</v>
      </c>
      <c r="I57" s="886"/>
    </row>
    <row r="58" spans="1:9" s="257" customFormat="1" ht="15.75" thickBot="1" x14ac:dyDescent="0.3">
      <c r="A58" s="298"/>
      <c r="C58" s="7" t="s">
        <v>227</v>
      </c>
      <c r="D58" s="312"/>
      <c r="E58" s="312"/>
      <c r="F58" s="371"/>
      <c r="G58" s="371"/>
      <c r="H58" s="378"/>
      <c r="I58" s="316"/>
    </row>
    <row r="59" spans="1:9" s="295" customFormat="1" ht="16.5" thickBot="1" x14ac:dyDescent="0.3">
      <c r="A59" s="291" t="s">
        <v>259</v>
      </c>
      <c r="B59" s="881" t="s">
        <v>258</v>
      </c>
      <c r="C59" s="7" t="s">
        <v>230</v>
      </c>
      <c r="D59" s="312"/>
      <c r="E59" s="312"/>
      <c r="F59" s="371"/>
      <c r="G59" s="371"/>
      <c r="H59" s="378"/>
      <c r="I59" s="316"/>
    </row>
    <row r="60" spans="1:9" s="293" customFormat="1" ht="16.5" thickBot="1" x14ac:dyDescent="0.3">
      <c r="A60" s="294"/>
      <c r="C60" s="887" t="s">
        <v>247</v>
      </c>
      <c r="D60" s="888" t="s">
        <v>254</v>
      </c>
      <c r="E60" s="888"/>
      <c r="F60" s="888" t="s">
        <v>253</v>
      </c>
      <c r="G60" s="888" t="s">
        <v>252</v>
      </c>
      <c r="H60" s="888" t="s">
        <v>251</v>
      </c>
      <c r="I60" s="257"/>
    </row>
    <row r="61" spans="1:9" s="293" customFormat="1" ht="16.5" thickBot="1" x14ac:dyDescent="0.3">
      <c r="A61" s="294"/>
      <c r="C61" s="257"/>
      <c r="D61" s="287">
        <f>D33+D57</f>
        <v>3471265.7748879921</v>
      </c>
      <c r="E61" s="287"/>
      <c r="F61" s="287">
        <f>F33+F57</f>
        <v>2231776.8581216219</v>
      </c>
      <c r="G61" s="286">
        <f>D61-F61</f>
        <v>1239488.9167663702</v>
      </c>
      <c r="H61" s="285">
        <f>(D61/F61)-1</f>
        <v>0.55538209935987415</v>
      </c>
      <c r="I61" s="257"/>
    </row>
    <row r="62" spans="1:9" s="293" customFormat="1" ht="19.5" thickBot="1" x14ac:dyDescent="0.35">
      <c r="A62" s="291">
        <v>3</v>
      </c>
      <c r="B62" s="289" t="s">
        <v>256</v>
      </c>
      <c r="C62" s="288" t="s">
        <v>257</v>
      </c>
      <c r="H62" s="294"/>
      <c r="I62" s="257"/>
    </row>
    <row r="63" spans="1:9" s="293" customFormat="1" ht="16.5" thickBot="1" x14ac:dyDescent="0.3">
      <c r="A63" s="294"/>
      <c r="C63" s="290" t="s">
        <v>247</v>
      </c>
      <c r="D63" s="292" t="s">
        <v>254</v>
      </c>
      <c r="E63" s="292"/>
      <c r="F63" s="292" t="s">
        <v>253</v>
      </c>
      <c r="G63" s="292" t="s">
        <v>252</v>
      </c>
      <c r="H63" s="292" t="s">
        <v>251</v>
      </c>
      <c r="I63" s="257"/>
    </row>
    <row r="64" spans="1:9" ht="16.5" thickBot="1" x14ac:dyDescent="0.3">
      <c r="C64" s="293"/>
      <c r="D64" s="287">
        <f>29464.66+25255.42</f>
        <v>54720.08</v>
      </c>
      <c r="E64" s="287"/>
      <c r="F64" s="286">
        <f>20759.4+12974.63</f>
        <v>33734.03</v>
      </c>
      <c r="G64" s="286">
        <f>D64-F64</f>
        <v>20986.050000000003</v>
      </c>
      <c r="H64" s="285">
        <f>(D64/F64)-1</f>
        <v>0.62210325893467222</v>
      </c>
      <c r="I64" s="257"/>
    </row>
    <row r="65" spans="1:9" ht="19.5" thickBot="1" x14ac:dyDescent="0.35">
      <c r="C65" s="288" t="s">
        <v>255</v>
      </c>
      <c r="I65" s="257"/>
    </row>
    <row r="66" spans="1:9" ht="16.5" thickBot="1" x14ac:dyDescent="0.3">
      <c r="A66" s="291" t="s">
        <v>250</v>
      </c>
      <c r="B66" s="289" t="s">
        <v>249</v>
      </c>
      <c r="C66" s="290" t="s">
        <v>247</v>
      </c>
      <c r="D66" s="292" t="s">
        <v>254</v>
      </c>
      <c r="E66" s="292"/>
      <c r="F66" s="292" t="s">
        <v>253</v>
      </c>
      <c r="G66" s="292" t="s">
        <v>252</v>
      </c>
      <c r="H66" s="292" t="s">
        <v>251</v>
      </c>
      <c r="I66" s="257"/>
    </row>
    <row r="67" spans="1:9" ht="16.5" thickBot="1" x14ac:dyDescent="0.3">
      <c r="B67" s="289" t="s">
        <v>63</v>
      </c>
      <c r="D67" s="287">
        <f>D61+D64</f>
        <v>3525985.8548879921</v>
      </c>
      <c r="E67" s="287"/>
      <c r="F67" s="287">
        <f>F61+F64</f>
        <v>2265510.8881216217</v>
      </c>
      <c r="G67" s="286">
        <f>D67-F67</f>
        <v>1260474.9667663705</v>
      </c>
      <c r="H67" s="285">
        <f>(D67/F67)-1</f>
        <v>0.55637559429760874</v>
      </c>
      <c r="I67" s="257"/>
    </row>
    <row r="68" spans="1:9" ht="16.5" thickBot="1" x14ac:dyDescent="0.3">
      <c r="B68" s="289" t="s">
        <v>247</v>
      </c>
      <c r="D68" s="287">
        <f>D67*10%</f>
        <v>352598.58548879926</v>
      </c>
      <c r="E68" s="287"/>
      <c r="F68" s="286">
        <f>F67*10%</f>
        <v>226551.08881216217</v>
      </c>
      <c r="G68" s="286">
        <f>D68-F68</f>
        <v>126047.49667663709</v>
      </c>
      <c r="H68" s="285">
        <f>(D68/F68)-1</f>
        <v>0.55637559429760897</v>
      </c>
      <c r="I68" s="257"/>
    </row>
    <row r="69" spans="1:9" ht="19.5" thickBot="1" x14ac:dyDescent="0.35">
      <c r="C69" s="288" t="s">
        <v>248</v>
      </c>
      <c r="D69" s="287">
        <f>SUM(D67:D68)</f>
        <v>3878584.4403767912</v>
      </c>
      <c r="E69" s="287"/>
      <c r="F69" s="286">
        <f>SUM(F67:F68)</f>
        <v>2492061.9769337839</v>
      </c>
      <c r="G69" s="286">
        <f>D69-F69</f>
        <v>1386522.4634430073</v>
      </c>
      <c r="H69" s="285">
        <f>(D69/F69)-1</f>
        <v>0.55637559429760852</v>
      </c>
      <c r="I69" s="257"/>
    </row>
    <row r="70" spans="1:9" ht="16.5" thickBot="1" x14ac:dyDescent="0.3">
      <c r="C70" s="290" t="s">
        <v>63</v>
      </c>
      <c r="I70" s="257"/>
    </row>
    <row r="71" spans="1:9" ht="19.5" thickBot="1" x14ac:dyDescent="0.35">
      <c r="C71" s="288" t="s">
        <v>246</v>
      </c>
    </row>
  </sheetData>
  <mergeCells count="1">
    <mergeCell ref="C3:I4"/>
  </mergeCells>
  <pageMargins left="0.70866141732283472" right="0.70866141732283472" top="0.74803149606299213" bottom="0.74803149606299213" header="0.31496062992125984" footer="0.31496062992125984"/>
  <pageSetup paperSize="9" scale="41" fitToWidth="0" orientation="landscape" r:id="rId1"/>
  <customProperties>
    <customPr name="EpmWorksheetKeyString_GUID" r:id="rId2"/>
    <customPr name="FPMExcelClientCellBasedFunctionStatus" r:id="rId3"/>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140"/>
  <sheetViews>
    <sheetView topLeftCell="I104" zoomScale="120" zoomScaleNormal="120" workbookViewId="0">
      <selection activeCell="V124" sqref="V124"/>
    </sheetView>
  </sheetViews>
  <sheetFormatPr defaultColWidth="10.85546875" defaultRowHeight="15" x14ac:dyDescent="0.25"/>
  <cols>
    <col min="1" max="1" width="72" style="216" customWidth="1"/>
    <col min="2" max="2" width="18.42578125" bestFit="1" customWidth="1"/>
    <col min="3" max="3" width="15.7109375" customWidth="1"/>
    <col min="4" max="4" width="16" customWidth="1"/>
    <col min="5" max="9" width="15.7109375" customWidth="1"/>
    <col min="10" max="11" width="15.7109375" hidden="1" customWidth="1"/>
    <col min="12" max="12" width="18" hidden="1" customWidth="1"/>
    <col min="13" max="16" width="18" customWidth="1"/>
    <col min="17" max="17" width="20.5703125" customWidth="1"/>
    <col min="18" max="18" width="15.7109375" customWidth="1"/>
    <col min="19" max="19" width="16.7109375" customWidth="1"/>
    <col min="20" max="20" width="21.7109375" customWidth="1"/>
    <col min="21" max="21" width="23.5703125" hidden="1" customWidth="1"/>
    <col min="22" max="22" width="22.140625" customWidth="1"/>
    <col min="23" max="23" width="14.140625" customWidth="1"/>
    <col min="24" max="24" width="13.140625" bestFit="1" customWidth="1"/>
    <col min="25" max="25" width="27.85546875" bestFit="1" customWidth="1"/>
    <col min="26" max="26" width="15.5703125" bestFit="1" customWidth="1"/>
    <col min="27" max="27" width="16.7109375" bestFit="1" customWidth="1"/>
    <col min="28" max="29" width="13.5703125" customWidth="1"/>
    <col min="30" max="30" width="14.7109375" bestFit="1" customWidth="1"/>
    <col min="32" max="32" width="11.28515625" bestFit="1" customWidth="1"/>
    <col min="35" max="35" width="12.42578125" bestFit="1" customWidth="1"/>
  </cols>
  <sheetData>
    <row r="1" spans="1:24" ht="18.75" x14ac:dyDescent="0.25">
      <c r="A1" s="1692" t="s">
        <v>65</v>
      </c>
      <c r="B1" s="1692"/>
      <c r="C1" s="1692"/>
      <c r="D1" s="1692"/>
      <c r="E1" s="1692"/>
      <c r="F1" s="1692"/>
      <c r="G1" s="1692"/>
      <c r="H1" s="1692"/>
      <c r="I1" s="1692"/>
      <c r="J1" s="1692"/>
      <c r="K1" s="1692"/>
      <c r="L1" s="1692"/>
      <c r="M1" s="1692"/>
      <c r="N1" s="1692"/>
      <c r="O1" s="1692"/>
      <c r="P1" s="1692"/>
      <c r="Q1" s="1692"/>
      <c r="R1" s="1692"/>
      <c r="S1" s="1692"/>
      <c r="T1" s="1692"/>
      <c r="U1" s="1692"/>
      <c r="V1" s="1692"/>
      <c r="W1" s="1692"/>
      <c r="X1" s="1692"/>
    </row>
    <row r="3" spans="1:24" ht="15.75" x14ac:dyDescent="0.25">
      <c r="A3" s="1693" t="s">
        <v>0</v>
      </c>
      <c r="B3" s="1693"/>
      <c r="C3" s="1693"/>
      <c r="D3" s="1693"/>
      <c r="E3" s="1693"/>
      <c r="F3" s="1693"/>
      <c r="G3" s="1693"/>
      <c r="H3" s="1693"/>
      <c r="I3" s="1693"/>
      <c r="J3" s="1693"/>
      <c r="K3" s="1693"/>
      <c r="L3" s="1693"/>
      <c r="M3" s="1693"/>
      <c r="N3" s="1693"/>
      <c r="O3" s="1693"/>
      <c r="P3" s="1693"/>
      <c r="Q3" s="1693"/>
      <c r="R3" s="1693"/>
      <c r="S3" s="1693"/>
      <c r="T3" s="1693"/>
      <c r="U3" s="1693"/>
      <c r="V3" s="1693"/>
      <c r="W3" s="1693"/>
      <c r="X3" s="1693"/>
    </row>
    <row r="4" spans="1:24" ht="16.5" x14ac:dyDescent="0.25">
      <c r="A4" s="1694" t="s">
        <v>1</v>
      </c>
      <c r="B4" s="1694"/>
      <c r="C4" s="1694"/>
      <c r="D4" s="1694"/>
      <c r="E4" s="1694"/>
      <c r="F4" s="1694"/>
      <c r="G4" s="1694"/>
      <c r="H4" s="1694"/>
      <c r="I4" s="1694"/>
      <c r="J4" s="1694"/>
      <c r="K4" s="1694"/>
      <c r="L4" s="1694"/>
      <c r="M4" s="1694"/>
      <c r="N4" s="1694"/>
      <c r="O4" s="1694"/>
      <c r="P4" s="1694"/>
      <c r="Q4" s="1694"/>
      <c r="R4" s="1694"/>
      <c r="S4" s="1694"/>
      <c r="T4" s="1694"/>
      <c r="U4" s="1694"/>
      <c r="V4" s="1694"/>
      <c r="W4" s="1694"/>
      <c r="X4" s="1694"/>
    </row>
    <row r="6" spans="1:24" x14ac:dyDescent="0.25">
      <c r="C6" t="s">
        <v>291</v>
      </c>
      <c r="D6" s="382">
        <v>45658</v>
      </c>
      <c r="E6" t="s">
        <v>406</v>
      </c>
      <c r="G6" s="21"/>
      <c r="H6" s="21"/>
      <c r="I6" s="559">
        <f>(G8*H7)/G7</f>
        <v>0.36083333333333334</v>
      </c>
      <c r="J6" s="21">
        <v>1226.83</v>
      </c>
      <c r="K6" s="21">
        <v>4.33</v>
      </c>
      <c r="L6" s="21"/>
      <c r="M6" s="21"/>
      <c r="N6" s="21"/>
      <c r="O6" s="21"/>
      <c r="P6" s="21"/>
      <c r="Q6" s="21"/>
      <c r="R6" s="21"/>
      <c r="S6" s="21"/>
      <c r="T6" s="21"/>
      <c r="U6" s="21"/>
      <c r="V6" s="21"/>
      <c r="W6" s="21"/>
    </row>
    <row r="7" spans="1:24" ht="18" x14ac:dyDescent="0.25">
      <c r="A7" s="244"/>
      <c r="G7" s="21">
        <v>12</v>
      </c>
      <c r="H7" s="21">
        <v>1</v>
      </c>
      <c r="I7" s="21"/>
      <c r="J7" s="21"/>
      <c r="K7" s="560"/>
      <c r="L7" s="21"/>
      <c r="M7" s="21"/>
      <c r="N7" s="21"/>
      <c r="O7" s="21"/>
      <c r="P7" s="21"/>
      <c r="Q7" s="21"/>
      <c r="R7" s="21"/>
      <c r="S7" s="21"/>
      <c r="T7" s="21"/>
      <c r="U7" s="21"/>
      <c r="V7" s="21"/>
      <c r="W7" s="21"/>
    </row>
    <row r="8" spans="1:24" x14ac:dyDescent="0.25">
      <c r="G8" s="21">
        <v>4.33</v>
      </c>
      <c r="H8" s="21"/>
      <c r="I8" s="21"/>
      <c r="J8" s="21"/>
      <c r="K8" s="21"/>
      <c r="L8" s="21"/>
      <c r="M8" s="21"/>
      <c r="N8" s="21"/>
      <c r="O8" s="21"/>
      <c r="P8" s="21"/>
      <c r="Q8" s="21"/>
      <c r="R8" s="21"/>
      <c r="S8" s="21"/>
      <c r="T8" s="561">
        <f>Q25/1700</f>
        <v>14.510470588235293</v>
      </c>
      <c r="U8" s="21"/>
      <c r="V8" s="21"/>
      <c r="W8" s="21"/>
    </row>
    <row r="9" spans="1:24" x14ac:dyDescent="0.25">
      <c r="A9" s="217" t="s">
        <v>24</v>
      </c>
      <c r="B9" s="204">
        <v>225</v>
      </c>
      <c r="C9" s="9" t="s">
        <v>2</v>
      </c>
      <c r="D9" s="10"/>
      <c r="E9" s="10"/>
      <c r="F9" s="11"/>
      <c r="G9" s="21"/>
      <c r="H9" s="21">
        <v>1700</v>
      </c>
      <c r="I9" s="21">
        <v>12</v>
      </c>
      <c r="J9" s="21"/>
      <c r="K9" s="562"/>
      <c r="L9" s="563"/>
      <c r="M9" s="563"/>
      <c r="N9" s="563"/>
      <c r="O9" s="563"/>
      <c r="P9" s="563"/>
      <c r="Q9" s="21">
        <v>1</v>
      </c>
      <c r="R9" s="561">
        <f>G7*I6</f>
        <v>4.33</v>
      </c>
      <c r="S9" s="21"/>
      <c r="T9" s="561">
        <f>T8*32.6%</f>
        <v>4.7304134117647054</v>
      </c>
      <c r="U9" s="21"/>
      <c r="V9" s="21"/>
      <c r="W9" s="21"/>
      <c r="X9" s="1"/>
    </row>
    <row r="10" spans="1:24" ht="15.75" thickBot="1" x14ac:dyDescent="0.3">
      <c r="A10" s="218" t="s">
        <v>3</v>
      </c>
      <c r="B10" s="205">
        <v>1701</v>
      </c>
      <c r="C10" s="6" t="s">
        <v>4</v>
      </c>
      <c r="F10" s="12"/>
      <c r="G10" s="21"/>
      <c r="H10" s="562"/>
      <c r="I10" s="21">
        <v>4.33</v>
      </c>
      <c r="J10" s="561"/>
      <c r="K10" s="21"/>
      <c r="L10" s="564"/>
      <c r="M10" s="564"/>
      <c r="N10" s="564"/>
      <c r="O10" s="564"/>
      <c r="P10" s="564"/>
      <c r="Q10" s="565"/>
      <c r="R10" s="21"/>
      <c r="S10" s="566"/>
      <c r="T10" s="561">
        <f>T8*2.44%</f>
        <v>0.3540554823529411</v>
      </c>
      <c r="U10" s="21"/>
      <c r="V10" s="21"/>
      <c r="W10" s="21"/>
    </row>
    <row r="11" spans="1:24" ht="15.75" thickBot="1" x14ac:dyDescent="0.3">
      <c r="A11" s="219"/>
      <c r="B11" s="14"/>
      <c r="C11" s="13"/>
      <c r="D11" s="15"/>
      <c r="E11" s="15"/>
      <c r="F11" s="14"/>
      <c r="G11" s="21"/>
      <c r="H11" s="567"/>
      <c r="I11" s="21"/>
      <c r="J11" s="561"/>
      <c r="K11" s="562"/>
      <c r="L11" s="563"/>
      <c r="M11" s="563"/>
      <c r="N11" s="563"/>
      <c r="O11" s="563"/>
      <c r="P11" s="563"/>
      <c r="Q11" s="21"/>
      <c r="R11" s="562"/>
      <c r="S11" s="21"/>
      <c r="T11" s="561">
        <f>SUM(T8:T10)</f>
        <v>19.594939482352938</v>
      </c>
      <c r="U11" s="21"/>
      <c r="V11" s="21"/>
      <c r="W11" s="21"/>
    </row>
    <row r="12" spans="1:24" x14ac:dyDescent="0.25">
      <c r="A12" s="220" t="s">
        <v>25</v>
      </c>
      <c r="B12" s="16">
        <v>0.32600000000000001</v>
      </c>
      <c r="C12" s="6" t="s">
        <v>26</v>
      </c>
      <c r="F12" s="12"/>
      <c r="G12" s="21"/>
      <c r="H12" s="562">
        <f>(H9*I10)/I9</f>
        <v>613.41666666666663</v>
      </c>
      <c r="I12" s="562">
        <f>J6/H12</f>
        <v>1.9999945659557126</v>
      </c>
      <c r="J12" s="562"/>
      <c r="K12" s="21"/>
      <c r="L12" s="562"/>
      <c r="M12" s="562"/>
      <c r="N12" s="562"/>
      <c r="O12" s="562"/>
      <c r="P12" s="562"/>
      <c r="Q12" s="21"/>
      <c r="R12" s="21"/>
      <c r="S12" s="568"/>
      <c r="T12" s="569">
        <v>3.63</v>
      </c>
      <c r="U12" s="21"/>
      <c r="V12" s="21"/>
      <c r="W12" s="21"/>
      <c r="X12" s="1"/>
    </row>
    <row r="13" spans="1:24" x14ac:dyDescent="0.25">
      <c r="A13" s="217" t="s">
        <v>5</v>
      </c>
      <c r="B13" s="18">
        <v>5.2299999999999999E-2</v>
      </c>
      <c r="C13" s="6" t="s">
        <v>420</v>
      </c>
      <c r="F13" s="12"/>
      <c r="G13" s="21"/>
      <c r="H13" s="21"/>
      <c r="I13" s="21"/>
      <c r="J13" s="21"/>
      <c r="K13" s="21"/>
      <c r="L13" s="21"/>
      <c r="M13" s="21"/>
      <c r="N13" s="21"/>
      <c r="O13" s="21"/>
      <c r="P13" s="21"/>
      <c r="Q13" s="21"/>
      <c r="R13" s="21"/>
      <c r="S13" s="21"/>
      <c r="T13" s="561">
        <f>SUM(T11:T12)</f>
        <v>23.224939482352937</v>
      </c>
      <c r="U13" s="21"/>
      <c r="V13" s="21"/>
      <c r="W13" s="21"/>
      <c r="X13" s="1"/>
    </row>
    <row r="14" spans="1:24" x14ac:dyDescent="0.25">
      <c r="A14" s="217" t="s">
        <v>6</v>
      </c>
      <c r="B14" s="18">
        <v>2.4500000000000001E-2</v>
      </c>
      <c r="C14" s="6" t="s">
        <v>7</v>
      </c>
      <c r="F14" s="12"/>
      <c r="G14" s="21"/>
      <c r="H14" s="21"/>
      <c r="I14" s="21"/>
      <c r="J14" s="21"/>
      <c r="K14" s="21"/>
      <c r="L14" s="21"/>
      <c r="M14" s="21"/>
      <c r="N14" s="21"/>
      <c r="O14" s="21"/>
      <c r="P14" s="21"/>
      <c r="Q14" s="21"/>
      <c r="R14" s="21"/>
      <c r="S14" s="21"/>
      <c r="T14" s="21"/>
      <c r="U14" s="561"/>
      <c r="V14" s="21">
        <f>V15-X15</f>
        <v>1.1207973584532738E-3</v>
      </c>
      <c r="W14" s="21"/>
      <c r="X14" s="22"/>
    </row>
    <row r="15" spans="1:24" x14ac:dyDescent="0.25">
      <c r="A15" s="217" t="s">
        <v>8</v>
      </c>
      <c r="B15" s="18">
        <v>0.05</v>
      </c>
      <c r="C15" s="23"/>
      <c r="D15" s="24"/>
      <c r="E15" s="24"/>
      <c r="F15" s="25"/>
      <c r="G15" s="21"/>
      <c r="H15" s="21"/>
      <c r="I15" s="21"/>
      <c r="J15" s="21"/>
      <c r="K15" s="21"/>
      <c r="L15" s="21"/>
      <c r="M15" s="21"/>
      <c r="N15" s="21"/>
      <c r="O15" s="21"/>
      <c r="P15" s="21"/>
      <c r="Q15" s="21"/>
      <c r="R15" s="21"/>
      <c r="S15" s="21"/>
      <c r="T15" s="21"/>
      <c r="U15" s="21"/>
      <c r="V15" s="21">
        <v>182200.39112079737</v>
      </c>
      <c r="W15" s="21"/>
      <c r="X15" s="21">
        <v>182200.39</v>
      </c>
    </row>
    <row r="17" spans="1:30" ht="15.75" thickBot="1" x14ac:dyDescent="0.3"/>
    <row r="18" spans="1:30" ht="57.6" customHeight="1" thickBot="1" x14ac:dyDescent="0.3">
      <c r="A18" s="221" t="s">
        <v>10</v>
      </c>
      <c r="B18" s="26" t="s">
        <v>27</v>
      </c>
      <c r="C18" s="27" t="s">
        <v>11</v>
      </c>
      <c r="D18" s="27" t="s">
        <v>12</v>
      </c>
      <c r="E18" s="27" t="s">
        <v>13</v>
      </c>
      <c r="F18" s="26" t="s">
        <v>28</v>
      </c>
      <c r="G18" s="26" t="s">
        <v>29</v>
      </c>
      <c r="H18" s="26" t="s">
        <v>299</v>
      </c>
      <c r="I18" s="26" t="s">
        <v>242</v>
      </c>
      <c r="J18" s="26" t="s">
        <v>30</v>
      </c>
      <c r="K18" s="26" t="s">
        <v>31</v>
      </c>
      <c r="L18" s="28" t="s">
        <v>32</v>
      </c>
      <c r="M18" s="28" t="s">
        <v>414</v>
      </c>
      <c r="N18" s="28" t="s">
        <v>418</v>
      </c>
      <c r="O18" s="28" t="s">
        <v>415</v>
      </c>
      <c r="P18" s="28" t="s">
        <v>419</v>
      </c>
      <c r="Q18" s="27" t="s">
        <v>14</v>
      </c>
      <c r="R18" s="26" t="s">
        <v>33</v>
      </c>
      <c r="S18" s="27" t="s">
        <v>15</v>
      </c>
      <c r="T18" s="26" t="s">
        <v>243</v>
      </c>
      <c r="U18" s="29" t="s">
        <v>34</v>
      </c>
      <c r="V18" s="30" t="s">
        <v>35</v>
      </c>
      <c r="W18" s="625"/>
      <c r="Y18" s="31" t="s">
        <v>36</v>
      </c>
      <c r="Z18" s="32" t="s">
        <v>37</v>
      </c>
      <c r="AA18" s="32" t="s">
        <v>38</v>
      </c>
      <c r="AB18" s="32" t="s">
        <v>39</v>
      </c>
      <c r="AC18" s="32" t="s">
        <v>40</v>
      </c>
      <c r="AD18" s="33" t="s">
        <v>9</v>
      </c>
    </row>
    <row r="19" spans="1:30" ht="30" customHeight="1" thickBot="1" x14ac:dyDescent="0.3">
      <c r="A19" s="222" t="s">
        <v>41</v>
      </c>
      <c r="B19" s="34"/>
      <c r="C19" s="34"/>
      <c r="D19" s="34"/>
      <c r="E19" s="35"/>
      <c r="F19" s="34"/>
      <c r="G19" s="34"/>
      <c r="H19" s="34"/>
      <c r="I19" s="34"/>
      <c r="J19" s="34"/>
      <c r="K19" s="34"/>
      <c r="L19" s="34"/>
      <c r="M19" s="34"/>
      <c r="N19" s="34"/>
      <c r="O19" s="34"/>
      <c r="P19" s="34"/>
      <c r="Q19" s="34"/>
      <c r="R19" s="34"/>
      <c r="S19" s="34"/>
      <c r="T19" s="34"/>
      <c r="U19" s="36"/>
      <c r="V19" s="35" t="s">
        <v>42</v>
      </c>
      <c r="W19" s="626"/>
      <c r="Y19" s="7"/>
      <c r="Z19" s="10"/>
      <c r="AA19" s="37"/>
      <c r="AB19" s="37"/>
      <c r="AC19" s="37"/>
      <c r="AD19" s="37"/>
    </row>
    <row r="20" spans="1:30" ht="21.75" customHeight="1" x14ac:dyDescent="0.25">
      <c r="A20" s="384" t="s">
        <v>66</v>
      </c>
      <c r="B20" s="385"/>
      <c r="C20" s="386"/>
      <c r="D20" s="385"/>
      <c r="E20" s="387"/>
      <c r="F20" s="385"/>
      <c r="G20" s="388"/>
      <c r="H20" s="388"/>
      <c r="I20" s="388"/>
      <c r="J20" s="389"/>
      <c r="K20" s="389"/>
      <c r="L20" s="390"/>
      <c r="M20" s="390"/>
      <c r="N20" s="390"/>
      <c r="O20" s="390"/>
      <c r="P20" s="390"/>
      <c r="Q20" s="391"/>
      <c r="R20" s="391"/>
      <c r="S20" s="391"/>
      <c r="T20" s="392"/>
      <c r="U20" s="393">
        <f>IF(L20&gt;T20,L20,T20)</f>
        <v>0</v>
      </c>
      <c r="V20" s="570"/>
      <c r="W20" s="627">
        <f>W21+V25+V26+V27+V28</f>
        <v>105326.15648251324</v>
      </c>
      <c r="Y20" s="160"/>
      <c r="AA20" s="3"/>
      <c r="AB20" s="3"/>
      <c r="AC20" s="3"/>
      <c r="AD20" s="3"/>
    </row>
    <row r="21" spans="1:30" ht="21.75" customHeight="1" x14ac:dyDescent="0.25">
      <c r="A21" s="223" t="s">
        <v>294</v>
      </c>
      <c r="B21" s="38"/>
      <c r="C21" s="39" t="s">
        <v>121</v>
      </c>
      <c r="D21" s="38">
        <f>F21/225</f>
        <v>7.5555555555555554</v>
      </c>
      <c r="E21" s="40">
        <v>37.799999999999997</v>
      </c>
      <c r="F21" s="422">
        <v>1700</v>
      </c>
      <c r="G21" s="41">
        <v>1</v>
      </c>
      <c r="H21" s="41"/>
      <c r="I21" s="41"/>
      <c r="J21" s="42"/>
      <c r="K21" s="42"/>
      <c r="L21" s="43"/>
      <c r="M21" s="621">
        <v>49151.040000000001</v>
      </c>
      <c r="N21" s="622">
        <f>M21*1</f>
        <v>49151.040000000001</v>
      </c>
      <c r="O21" s="622">
        <f>N21*B12</f>
        <v>16023.23904</v>
      </c>
      <c r="P21" s="622">
        <f>N21+O21</f>
        <v>65174.279040000001</v>
      </c>
      <c r="Q21" s="268">
        <v>30703.54</v>
      </c>
      <c r="R21" s="268">
        <f t="shared" ref="R21:R28" si="0">Q21*G21</f>
        <v>30703.54</v>
      </c>
      <c r="S21" s="268">
        <f>R21*B12</f>
        <v>10009.35404</v>
      </c>
      <c r="T21" s="271">
        <f>R21+S21</f>
        <v>40712.894039999999</v>
      </c>
      <c r="U21" s="44"/>
      <c r="V21" s="45">
        <f>T21</f>
        <v>40712.894039999999</v>
      </c>
      <c r="W21" s="628">
        <v>65174.279040000001</v>
      </c>
      <c r="X21" s="20">
        <f>P21</f>
        <v>65174.279040000001</v>
      </c>
      <c r="Y21" s="160">
        <f t="shared" ref="Y21:Y28" si="1">V21</f>
        <v>40712.894039999999</v>
      </c>
      <c r="AA21" s="3"/>
      <c r="AB21" s="3"/>
      <c r="AC21" s="3"/>
      <c r="AD21" s="3"/>
    </row>
    <row r="22" spans="1:30" ht="21" customHeight="1" x14ac:dyDescent="0.25">
      <c r="A22" s="617" t="s">
        <v>293</v>
      </c>
      <c r="B22" s="38"/>
      <c r="C22" s="39" t="s">
        <v>16</v>
      </c>
      <c r="D22" s="38"/>
      <c r="E22" s="40"/>
      <c r="F22" s="38">
        <f>F21*I22</f>
        <v>850</v>
      </c>
      <c r="G22" s="41">
        <v>1</v>
      </c>
      <c r="H22" s="415">
        <f>(Q21/F21)*0.1</f>
        <v>1.8060905882352942</v>
      </c>
      <c r="I22" s="428">
        <v>0.5</v>
      </c>
      <c r="J22" s="42"/>
      <c r="K22" s="42"/>
      <c r="L22" s="43"/>
      <c r="M22" s="43"/>
      <c r="N22" s="43"/>
      <c r="O22" s="43"/>
      <c r="P22" s="43"/>
      <c r="Q22" s="268">
        <f>H22*F22</f>
        <v>1535.1770000000001</v>
      </c>
      <c r="R22" s="268">
        <f t="shared" si="0"/>
        <v>1535.1770000000001</v>
      </c>
      <c r="S22" s="268">
        <f>Q22*B12</f>
        <v>500.46770200000009</v>
      </c>
      <c r="T22" s="271">
        <f t="shared" ref="T22:T66" si="2">R22+S22</f>
        <v>2035.6447020000003</v>
      </c>
      <c r="U22" s="44"/>
      <c r="V22" s="45">
        <f t="shared" ref="V22:V69" si="3">T22</f>
        <v>2035.6447020000003</v>
      </c>
      <c r="W22" s="628"/>
      <c r="Y22" s="160">
        <f t="shared" si="1"/>
        <v>2035.6447020000003</v>
      </c>
      <c r="AA22" s="3"/>
      <c r="AB22" s="3"/>
      <c r="AC22" s="3"/>
      <c r="AD22" s="3"/>
    </row>
    <row r="23" spans="1:30" ht="15.95" customHeight="1" x14ac:dyDescent="0.25">
      <c r="A23" s="617" t="s">
        <v>292</v>
      </c>
      <c r="B23" s="38"/>
      <c r="C23" s="39"/>
      <c r="D23" s="38">
        <f>D20*0.25</f>
        <v>0</v>
      </c>
      <c r="E23" s="40">
        <f>E20*0.25</f>
        <v>0</v>
      </c>
      <c r="F23" s="38">
        <f>F21*I23</f>
        <v>425</v>
      </c>
      <c r="G23" s="41">
        <v>1</v>
      </c>
      <c r="H23" s="415">
        <f>(Q21/F21)*I23</f>
        <v>4.5152264705882352</v>
      </c>
      <c r="I23" s="428">
        <v>0.25</v>
      </c>
      <c r="J23" s="42"/>
      <c r="K23" s="42"/>
      <c r="L23" s="43"/>
      <c r="M23" s="43"/>
      <c r="N23" s="43"/>
      <c r="O23" s="43"/>
      <c r="P23" s="43"/>
      <c r="Q23" s="268">
        <f>F23*H23</f>
        <v>1918.9712500000001</v>
      </c>
      <c r="R23" s="268">
        <f t="shared" si="0"/>
        <v>1918.9712500000001</v>
      </c>
      <c r="S23" s="268">
        <f>R23*B12</f>
        <v>625.58462750000001</v>
      </c>
      <c r="T23" s="271">
        <f t="shared" si="2"/>
        <v>2544.5558775</v>
      </c>
      <c r="U23" s="44"/>
      <c r="V23" s="45">
        <f t="shared" si="3"/>
        <v>2544.5558775</v>
      </c>
      <c r="W23" s="628"/>
      <c r="X23" s="20"/>
      <c r="Y23" s="160">
        <f t="shared" si="1"/>
        <v>2544.5558775</v>
      </c>
      <c r="AA23" s="3"/>
      <c r="AB23" s="3"/>
      <c r="AC23" s="3"/>
      <c r="AD23" s="3"/>
    </row>
    <row r="24" spans="1:30" ht="15.95" customHeight="1" x14ac:dyDescent="0.25">
      <c r="A24" s="617" t="s">
        <v>318</v>
      </c>
      <c r="B24" s="38"/>
      <c r="C24" s="39"/>
      <c r="D24" s="38"/>
      <c r="E24" s="40"/>
      <c r="F24" s="38">
        <v>12</v>
      </c>
      <c r="G24" s="41">
        <v>1</v>
      </c>
      <c r="H24" s="415">
        <v>289</v>
      </c>
      <c r="I24" s="428"/>
      <c r="J24" s="42"/>
      <c r="K24" s="42"/>
      <c r="L24" s="43"/>
      <c r="M24" s="43"/>
      <c r="N24" s="43"/>
      <c r="O24" s="43"/>
      <c r="P24" s="43"/>
      <c r="Q24" s="268">
        <f>H24*F24</f>
        <v>3468</v>
      </c>
      <c r="R24" s="268">
        <f t="shared" si="0"/>
        <v>3468</v>
      </c>
      <c r="S24" s="268">
        <f>R24*B12</f>
        <v>1130.568</v>
      </c>
      <c r="T24" s="271">
        <f>R24+S24</f>
        <v>4598.5680000000002</v>
      </c>
      <c r="U24" s="44"/>
      <c r="V24" s="45">
        <f>T24</f>
        <v>4598.5680000000002</v>
      </c>
      <c r="W24" s="628"/>
      <c r="X24" s="20"/>
      <c r="Y24" s="160">
        <f t="shared" si="1"/>
        <v>4598.5680000000002</v>
      </c>
      <c r="AA24" s="3"/>
      <c r="AB24" s="3"/>
      <c r="AC24" s="3"/>
      <c r="AD24" s="3"/>
    </row>
    <row r="25" spans="1:30" ht="17.25" customHeight="1" x14ac:dyDescent="0.25">
      <c r="A25" s="224" t="s">
        <v>295</v>
      </c>
      <c r="B25" s="47"/>
      <c r="C25" s="48" t="s">
        <v>16</v>
      </c>
      <c r="D25" s="47">
        <v>7.56</v>
      </c>
      <c r="E25" s="49"/>
      <c r="F25" s="423">
        <v>1700</v>
      </c>
      <c r="G25" s="206">
        <f>F25/B10</f>
        <v>0.99941211052322165</v>
      </c>
      <c r="H25" s="206"/>
      <c r="I25" s="429"/>
      <c r="J25" s="50"/>
      <c r="K25" s="50"/>
      <c r="L25" s="51"/>
      <c r="M25" s="51"/>
      <c r="N25" s="51"/>
      <c r="O25" s="51"/>
      <c r="P25" s="51"/>
      <c r="Q25" s="269">
        <v>24667.8</v>
      </c>
      <c r="R25" s="268">
        <f t="shared" si="0"/>
        <v>24653.298059964727</v>
      </c>
      <c r="S25" s="269">
        <f>R25*B12</f>
        <v>8036.9751675485013</v>
      </c>
      <c r="T25" s="271">
        <f t="shared" si="2"/>
        <v>32690.273227513229</v>
      </c>
      <c r="U25" s="44">
        <f>IF(L25&gt;T25,L25,T25)</f>
        <v>32690.273227513229</v>
      </c>
      <c r="V25" s="45">
        <f t="shared" si="3"/>
        <v>32690.273227513229</v>
      </c>
      <c r="W25" s="628"/>
      <c r="X25" s="192"/>
      <c r="Y25" s="160">
        <f t="shared" si="1"/>
        <v>32690.273227513229</v>
      </c>
      <c r="AA25" s="3"/>
      <c r="AB25" s="3"/>
      <c r="AC25" s="3"/>
      <c r="AD25" s="3"/>
    </row>
    <row r="26" spans="1:30" ht="18" customHeight="1" x14ac:dyDescent="0.25">
      <c r="A26" s="618" t="s">
        <v>293</v>
      </c>
      <c r="B26" s="52"/>
      <c r="C26" s="53" t="s">
        <v>16</v>
      </c>
      <c r="D26" s="52"/>
      <c r="E26" s="54"/>
      <c r="F26" s="52">
        <f>F25/2</f>
        <v>850</v>
      </c>
      <c r="G26" s="206">
        <v>1</v>
      </c>
      <c r="H26" s="420">
        <f>(Q25/1700)*0.1</f>
        <v>1.4510470588235294</v>
      </c>
      <c r="I26" s="430">
        <v>0.5</v>
      </c>
      <c r="J26" s="56"/>
      <c r="K26" s="56"/>
      <c r="L26" s="57"/>
      <c r="M26" s="57"/>
      <c r="N26" s="57"/>
      <c r="O26" s="57"/>
      <c r="P26" s="57"/>
      <c r="Q26" s="270">
        <f>((Q25/1700)*0.1)*F27</f>
        <v>616.69499999999994</v>
      </c>
      <c r="R26" s="268">
        <f t="shared" si="0"/>
        <v>616.69499999999994</v>
      </c>
      <c r="S26" s="270">
        <f>R26*B12</f>
        <v>201.04256999999998</v>
      </c>
      <c r="T26" s="271">
        <f t="shared" si="2"/>
        <v>817.73756999999989</v>
      </c>
      <c r="U26" s="44"/>
      <c r="V26" s="45">
        <f t="shared" si="3"/>
        <v>817.73756999999989</v>
      </c>
      <c r="W26" s="628"/>
      <c r="Y26" s="160">
        <f t="shared" si="1"/>
        <v>817.73756999999989</v>
      </c>
      <c r="AA26" s="3"/>
      <c r="AB26" s="3"/>
      <c r="AC26" s="3"/>
      <c r="AD26" s="3"/>
    </row>
    <row r="27" spans="1:30" ht="18" customHeight="1" x14ac:dyDescent="0.25">
      <c r="A27" s="618" t="s">
        <v>292</v>
      </c>
      <c r="B27" s="52"/>
      <c r="C27" s="53"/>
      <c r="D27" s="52"/>
      <c r="E27" s="54">
        <f>E23</f>
        <v>0</v>
      </c>
      <c r="F27" s="52">
        <f>F21*I27</f>
        <v>425</v>
      </c>
      <c r="G27" s="206">
        <v>1</v>
      </c>
      <c r="H27" s="383"/>
      <c r="I27" s="430">
        <v>0.25</v>
      </c>
      <c r="J27" s="56"/>
      <c r="K27" s="56"/>
      <c r="L27" s="57"/>
      <c r="M27" s="51"/>
      <c r="N27" s="609"/>
      <c r="O27" s="609"/>
      <c r="P27" s="609"/>
      <c r="Q27" s="317">
        <f>(Q25/1700)*I27*F27</f>
        <v>1541.7375</v>
      </c>
      <c r="R27" s="268">
        <f t="shared" si="0"/>
        <v>1541.7375</v>
      </c>
      <c r="S27" s="270">
        <f>R27*B12</f>
        <v>502.606425</v>
      </c>
      <c r="T27" s="271">
        <f t="shared" si="2"/>
        <v>2044.3439249999999</v>
      </c>
      <c r="U27" s="44"/>
      <c r="V27" s="45">
        <f t="shared" si="3"/>
        <v>2044.3439249999999</v>
      </c>
      <c r="W27" s="628"/>
      <c r="Y27" s="160">
        <f t="shared" si="1"/>
        <v>2044.3439249999999</v>
      </c>
      <c r="AA27" s="3"/>
      <c r="AB27" s="3"/>
      <c r="AC27" s="3"/>
      <c r="AD27" s="3"/>
    </row>
    <row r="28" spans="1:30" ht="18" customHeight="1" x14ac:dyDescent="0.25">
      <c r="A28" s="214" t="s">
        <v>296</v>
      </c>
      <c r="B28" s="52"/>
      <c r="C28" s="53"/>
      <c r="D28" s="52"/>
      <c r="E28" s="54"/>
      <c r="F28" s="52">
        <v>12</v>
      </c>
      <c r="G28" s="383">
        <v>1</v>
      </c>
      <c r="H28" s="419">
        <v>289.06</v>
      </c>
      <c r="I28" s="417"/>
      <c r="J28" s="56"/>
      <c r="K28" s="56"/>
      <c r="L28" s="328"/>
      <c r="M28" s="609"/>
      <c r="N28" s="609"/>
      <c r="O28" s="609"/>
      <c r="P28" s="609"/>
      <c r="Q28" s="317">
        <f>F28*H28</f>
        <v>3468.7200000000003</v>
      </c>
      <c r="R28" s="268">
        <f t="shared" si="0"/>
        <v>3468.7200000000003</v>
      </c>
      <c r="S28" s="270">
        <f>R28*B12</f>
        <v>1130.8027200000001</v>
      </c>
      <c r="T28" s="271">
        <f>R28+S28</f>
        <v>4599.5227200000008</v>
      </c>
      <c r="U28" s="44"/>
      <c r="V28" s="45">
        <f t="shared" si="3"/>
        <v>4599.5227200000008</v>
      </c>
      <c r="W28" s="628"/>
      <c r="X28" s="20"/>
      <c r="Y28" s="160">
        <f t="shared" si="1"/>
        <v>4599.5227200000008</v>
      </c>
      <c r="AA28" s="3"/>
      <c r="AB28" s="3"/>
      <c r="AC28" s="3"/>
      <c r="AD28" s="3"/>
    </row>
    <row r="29" spans="1:30" ht="15.75" x14ac:dyDescent="0.25">
      <c r="A29" s="394" t="s">
        <v>297</v>
      </c>
      <c r="B29" s="395"/>
      <c r="C29" s="396"/>
      <c r="D29" s="395"/>
      <c r="E29" s="397"/>
      <c r="F29" s="395"/>
      <c r="G29" s="398"/>
      <c r="H29" s="398"/>
      <c r="I29" s="431"/>
      <c r="J29" s="399"/>
      <c r="K29" s="399"/>
      <c r="L29" s="400"/>
      <c r="M29" s="400"/>
      <c r="N29" s="400"/>
      <c r="O29" s="400"/>
      <c r="P29" s="400"/>
      <c r="Q29" s="401"/>
      <c r="R29" s="648">
        <f>SUM(R21:R28)</f>
        <v>67906.13880996473</v>
      </c>
      <c r="S29" s="402"/>
      <c r="T29" s="392"/>
      <c r="U29" s="393">
        <f>IF(L29&gt;T29,L29,T29)</f>
        <v>0</v>
      </c>
      <c r="V29" s="437">
        <f>SUM(V30:V57)</f>
        <v>2081475.9069529336</v>
      </c>
      <c r="W29" s="629">
        <f>W30+W34+W38+W42</f>
        <v>1905328.86497616</v>
      </c>
      <c r="X29" s="624"/>
      <c r="Y29" s="160"/>
      <c r="AA29" s="3"/>
      <c r="AB29" s="3"/>
      <c r="AC29" s="3"/>
      <c r="AD29" s="3"/>
    </row>
    <row r="30" spans="1:30" ht="15.75" x14ac:dyDescent="0.25">
      <c r="A30" s="403" t="s">
        <v>298</v>
      </c>
      <c r="B30" s="404"/>
      <c r="C30" s="405"/>
      <c r="D30" s="404"/>
      <c r="E30" s="406"/>
      <c r="F30" s="424">
        <v>6800</v>
      </c>
      <c r="G30" s="407">
        <f>F30/1700</f>
        <v>4</v>
      </c>
      <c r="H30" s="407"/>
      <c r="I30" s="432"/>
      <c r="J30" s="408"/>
      <c r="K30" s="408"/>
      <c r="L30" s="409"/>
      <c r="M30" s="619">
        <v>45328.68</v>
      </c>
      <c r="N30" s="623">
        <f>M30*1</f>
        <v>45328.68</v>
      </c>
      <c r="O30" s="623">
        <f>N30*B12</f>
        <v>14777.14968</v>
      </c>
      <c r="P30" s="623">
        <f>N30+O30</f>
        <v>60105.829680000003</v>
      </c>
      <c r="Q30" s="612">
        <v>24667.8</v>
      </c>
      <c r="R30" s="410">
        <f>G30*Q30</f>
        <v>98671.2</v>
      </c>
      <c r="S30" s="411">
        <f>R30*B12</f>
        <v>32166.8112</v>
      </c>
      <c r="T30" s="412">
        <f>R30+S30</f>
        <v>130838.01119999999</v>
      </c>
      <c r="U30" s="413"/>
      <c r="V30" s="414">
        <f t="shared" si="3"/>
        <v>130838.01119999999</v>
      </c>
      <c r="W30" s="492">
        <v>190943.84088</v>
      </c>
      <c r="X30" s="624">
        <f>Q30*3</f>
        <v>74003.399999999994</v>
      </c>
      <c r="Y30" s="160">
        <f t="shared" ref="Y30:Y57" si="4">V30</f>
        <v>130838.01119999999</v>
      </c>
      <c r="AA30" s="3"/>
      <c r="AB30" s="3"/>
      <c r="AC30" s="3"/>
      <c r="AD30" s="3"/>
    </row>
    <row r="31" spans="1:30" ht="15.95" customHeight="1" x14ac:dyDescent="0.25">
      <c r="A31" s="618" t="s">
        <v>293</v>
      </c>
      <c r="B31" s="52"/>
      <c r="C31" s="53" t="s">
        <v>16</v>
      </c>
      <c r="D31" s="52"/>
      <c r="E31" s="54"/>
      <c r="F31" s="52">
        <f>F30*I31</f>
        <v>1700</v>
      </c>
      <c r="G31" s="417">
        <v>5</v>
      </c>
      <c r="H31" s="416">
        <f>(Q30/1700)*0.1</f>
        <v>1.4510470588235294</v>
      </c>
      <c r="I31" s="430">
        <v>0.25</v>
      </c>
      <c r="J31" s="56"/>
      <c r="K31" s="56"/>
      <c r="L31" s="328"/>
      <c r="Q31" s="269">
        <f>(F31/G31)*H31</f>
        <v>493.35599999999999</v>
      </c>
      <c r="R31" s="268">
        <f>Q31*G31</f>
        <v>2466.7799999999997</v>
      </c>
      <c r="S31" s="270">
        <f>R31*32.6%</f>
        <v>804.17027999999993</v>
      </c>
      <c r="T31" s="271">
        <f t="shared" si="2"/>
        <v>3270.9502799999996</v>
      </c>
      <c r="U31" s="44"/>
      <c r="V31" s="45">
        <f t="shared" si="3"/>
        <v>3270.9502799999996</v>
      </c>
      <c r="W31" s="628"/>
      <c r="Y31" s="160">
        <f t="shared" si="4"/>
        <v>3270.9502799999996</v>
      </c>
      <c r="AA31" s="3"/>
      <c r="AB31" s="3"/>
      <c r="AC31" s="3"/>
      <c r="AD31" s="3"/>
    </row>
    <row r="32" spans="1:30" ht="15.95" customHeight="1" x14ac:dyDescent="0.25">
      <c r="A32" s="618" t="s">
        <v>282</v>
      </c>
      <c r="B32" s="52"/>
      <c r="C32" s="53"/>
      <c r="D32" s="52"/>
      <c r="E32" s="54"/>
      <c r="F32" s="52">
        <f>F30*I32</f>
        <v>2720</v>
      </c>
      <c r="G32" s="58">
        <f>F32/1700</f>
        <v>1.6</v>
      </c>
      <c r="H32" s="419">
        <f>(Q30/1700)*0.25</f>
        <v>3.6276176470588233</v>
      </c>
      <c r="I32" s="430">
        <v>0.4</v>
      </c>
      <c r="J32" s="56"/>
      <c r="K32" s="56"/>
      <c r="L32" s="328"/>
      <c r="M32" s="619"/>
      <c r="N32" s="619"/>
      <c r="O32" s="619"/>
      <c r="P32" s="619"/>
      <c r="Q32" s="269">
        <f>(F32/2)*H32</f>
        <v>4933.5599999999995</v>
      </c>
      <c r="R32" s="268">
        <f>Q32*G32</f>
        <v>7893.6959999999999</v>
      </c>
      <c r="S32" s="270">
        <f>R32*32.6%</f>
        <v>2573.3448960000001</v>
      </c>
      <c r="T32" s="271">
        <f t="shared" si="2"/>
        <v>10467.040896</v>
      </c>
      <c r="U32" s="44"/>
      <c r="V32" s="45">
        <f t="shared" si="3"/>
        <v>10467.040896</v>
      </c>
      <c r="W32" s="628"/>
      <c r="Y32" s="160">
        <f t="shared" si="4"/>
        <v>10467.040896</v>
      </c>
      <c r="AA32" s="3"/>
      <c r="AB32" s="3"/>
      <c r="AC32" s="3"/>
      <c r="AD32" s="3"/>
    </row>
    <row r="33" spans="1:30" ht="15.95" customHeight="1" x14ac:dyDescent="0.25">
      <c r="A33" s="618" t="s">
        <v>301</v>
      </c>
      <c r="B33" s="52"/>
      <c r="C33" s="53"/>
      <c r="D33" s="52"/>
      <c r="E33" s="54"/>
      <c r="F33" s="52">
        <v>12</v>
      </c>
      <c r="G33" s="58">
        <v>2</v>
      </c>
      <c r="H33" s="419">
        <v>92.92</v>
      </c>
      <c r="I33" s="430"/>
      <c r="J33" s="56"/>
      <c r="K33" s="56"/>
      <c r="L33" s="328"/>
      <c r="M33" s="619"/>
      <c r="N33" s="619"/>
      <c r="O33" s="619"/>
      <c r="P33" s="619"/>
      <c r="Q33" s="269">
        <f>F33*H33</f>
        <v>1115.04</v>
      </c>
      <c r="R33" s="268">
        <f>Q33*G33</f>
        <v>2230.08</v>
      </c>
      <c r="S33" s="270">
        <f>R33*B12</f>
        <v>727.00608</v>
      </c>
      <c r="T33" s="271">
        <f t="shared" ref="T33:T41" si="5">R33+S33</f>
        <v>2957.08608</v>
      </c>
      <c r="U33" s="44"/>
      <c r="V33" s="45">
        <f t="shared" si="3"/>
        <v>2957.08608</v>
      </c>
      <c r="W33" s="628"/>
      <c r="Y33" s="160">
        <f t="shared" si="4"/>
        <v>2957.08608</v>
      </c>
      <c r="AA33" s="3"/>
      <c r="AB33" s="3"/>
      <c r="AC33" s="3"/>
      <c r="AD33" s="3"/>
    </row>
    <row r="34" spans="1:30" ht="15.95" customHeight="1" x14ac:dyDescent="0.25">
      <c r="A34" s="215" t="s">
        <v>300</v>
      </c>
      <c r="B34" s="52"/>
      <c r="C34" s="444" t="s">
        <v>323</v>
      </c>
      <c r="D34" s="52"/>
      <c r="E34" s="54"/>
      <c r="F34" s="425">
        <v>57095.5</v>
      </c>
      <c r="G34" s="58">
        <f>F34/1700</f>
        <v>33.585588235294118</v>
      </c>
      <c r="H34" s="58"/>
      <c r="I34" s="430"/>
      <c r="J34" s="56"/>
      <c r="K34" s="56"/>
      <c r="L34" s="328"/>
      <c r="M34" s="619">
        <v>33980.04</v>
      </c>
      <c r="N34" s="619">
        <f>M34*31</f>
        <v>1053381.24</v>
      </c>
      <c r="O34" s="619">
        <f>N34*32.6%</f>
        <v>343402.28424000001</v>
      </c>
      <c r="P34" s="619">
        <f>N34+O34</f>
        <v>1396783.5242399999</v>
      </c>
      <c r="Q34" s="269">
        <v>24667.8</v>
      </c>
      <c r="R34" s="268">
        <f>Q34*G34</f>
        <v>828482.57347058819</v>
      </c>
      <c r="S34" s="270">
        <f>R34*B12</f>
        <v>270085.31895141175</v>
      </c>
      <c r="T34" s="271">
        <f t="shared" si="5"/>
        <v>1098567.8924219999</v>
      </c>
      <c r="U34" s="44"/>
      <c r="V34" s="45">
        <f t="shared" si="3"/>
        <v>1098567.8924219999</v>
      </c>
      <c r="W34" s="628">
        <v>1396783.5242399999</v>
      </c>
      <c r="X34" s="20"/>
      <c r="Y34" s="160">
        <f t="shared" si="4"/>
        <v>1098567.8924219999</v>
      </c>
      <c r="AA34" s="3"/>
      <c r="AB34" s="3"/>
      <c r="AC34" s="3"/>
      <c r="AD34" s="3"/>
    </row>
    <row r="35" spans="1:30" ht="15.95" customHeight="1" x14ac:dyDescent="0.25">
      <c r="A35" s="214" t="s">
        <v>293</v>
      </c>
      <c r="B35" s="52"/>
      <c r="C35" s="53"/>
      <c r="D35" s="52"/>
      <c r="E35" s="54"/>
      <c r="F35" s="52">
        <f>F34*I35</f>
        <v>11419.1</v>
      </c>
      <c r="G35" s="58">
        <f>F35/1700</f>
        <v>6.7171176470588234</v>
      </c>
      <c r="H35" s="419">
        <f>(Q34/1700)*0.1</f>
        <v>1.4510470588235294</v>
      </c>
      <c r="I35" s="430">
        <v>0.2</v>
      </c>
      <c r="J35" s="56"/>
      <c r="K35" s="56"/>
      <c r="L35" s="328"/>
      <c r="M35" s="51"/>
      <c r="N35" s="51"/>
      <c r="O35" s="51"/>
      <c r="P35" s="51"/>
      <c r="Q35" s="269">
        <f>H35*(F35/G35)</f>
        <v>2466.7799999999997</v>
      </c>
      <c r="R35" s="268">
        <f>H35*F35</f>
        <v>16569.651469411765</v>
      </c>
      <c r="S35" s="270">
        <f>R35*B12</f>
        <v>5401.7063790282355</v>
      </c>
      <c r="T35" s="271">
        <f t="shared" si="5"/>
        <v>21971.357848439999</v>
      </c>
      <c r="U35" s="44"/>
      <c r="V35" s="45">
        <f t="shared" si="3"/>
        <v>21971.357848439999</v>
      </c>
      <c r="W35" s="628"/>
      <c r="Y35" s="160">
        <f t="shared" si="4"/>
        <v>21971.357848439999</v>
      </c>
      <c r="AA35" s="3"/>
      <c r="AB35" s="3"/>
      <c r="AC35" s="3"/>
      <c r="AD35" s="3"/>
    </row>
    <row r="36" spans="1:30" ht="15.95" customHeight="1" x14ac:dyDescent="0.25">
      <c r="A36" s="440" t="s">
        <v>282</v>
      </c>
      <c r="B36" s="52"/>
      <c r="C36" s="53"/>
      <c r="D36" s="52"/>
      <c r="E36" s="54"/>
      <c r="F36" s="52">
        <f>F34*I36</f>
        <v>22838.2</v>
      </c>
      <c r="G36" s="58">
        <f>F36/1700</f>
        <v>13.434235294117647</v>
      </c>
      <c r="H36" s="419">
        <f>(Q34/1700)*0.25</f>
        <v>3.6276176470588233</v>
      </c>
      <c r="I36" s="430">
        <v>0.4</v>
      </c>
      <c r="J36" s="56"/>
      <c r="K36" s="56"/>
      <c r="L36" s="328"/>
      <c r="M36" s="51"/>
      <c r="N36" s="51"/>
      <c r="O36" s="51"/>
      <c r="P36" s="51"/>
      <c r="Q36" s="269">
        <f>H36*(F36/G36)</f>
        <v>6166.95</v>
      </c>
      <c r="R36" s="268">
        <f>H36*F36</f>
        <v>82848.257347058825</v>
      </c>
      <c r="S36" s="270">
        <f>R36*B12</f>
        <v>27008.531895141179</v>
      </c>
      <c r="T36" s="271">
        <f t="shared" si="5"/>
        <v>109856.7892422</v>
      </c>
      <c r="U36" s="44"/>
      <c r="V36" s="45">
        <f t="shared" si="3"/>
        <v>109856.7892422</v>
      </c>
      <c r="W36" s="628"/>
      <c r="Y36" s="160">
        <f t="shared" si="4"/>
        <v>109856.7892422</v>
      </c>
      <c r="AA36" s="3"/>
      <c r="AB36" s="3"/>
      <c r="AC36" s="3"/>
      <c r="AD36" s="3"/>
    </row>
    <row r="37" spans="1:30" ht="15.95" customHeight="1" x14ac:dyDescent="0.25">
      <c r="A37" s="418" t="s">
        <v>296</v>
      </c>
      <c r="B37" s="52"/>
      <c r="C37" s="53"/>
      <c r="D37" s="52"/>
      <c r="E37" s="54"/>
      <c r="F37" s="52">
        <v>12</v>
      </c>
      <c r="G37" s="58">
        <f>G34</f>
        <v>33.585588235294118</v>
      </c>
      <c r="H37" s="419">
        <v>289.06</v>
      </c>
      <c r="I37" s="430"/>
      <c r="J37" s="56"/>
      <c r="K37" s="56"/>
      <c r="L37" s="328"/>
      <c r="M37" s="51"/>
      <c r="N37" s="51"/>
      <c r="O37" s="51"/>
      <c r="P37" s="51"/>
      <c r="Q37" s="269">
        <f>H37*F37</f>
        <v>3468.7200000000003</v>
      </c>
      <c r="R37" s="268">
        <f>H37*G37</f>
        <v>9708.2501352941181</v>
      </c>
      <c r="S37" s="270">
        <f>R37*B12</f>
        <v>3164.8895441058826</v>
      </c>
      <c r="T37" s="271">
        <f t="shared" si="5"/>
        <v>12873.139679400001</v>
      </c>
      <c r="U37" s="44"/>
      <c r="V37" s="45">
        <f t="shared" si="3"/>
        <v>12873.139679400001</v>
      </c>
      <c r="W37" s="628"/>
      <c r="Y37" s="160">
        <f t="shared" si="4"/>
        <v>12873.139679400001</v>
      </c>
      <c r="AA37" s="3"/>
      <c r="AB37" s="3"/>
      <c r="AC37" s="3"/>
      <c r="AD37" s="3"/>
    </row>
    <row r="38" spans="1:30" ht="15.95" customHeight="1" x14ac:dyDescent="0.25">
      <c r="A38" s="52" t="s">
        <v>322</v>
      </c>
      <c r="B38" s="441">
        <v>0.5</v>
      </c>
      <c r="C38" s="53" t="s">
        <v>16</v>
      </c>
      <c r="D38" s="52"/>
      <c r="E38" s="54"/>
      <c r="F38" s="52">
        <f>F34*B38</f>
        <v>28547.75</v>
      </c>
      <c r="G38" s="58">
        <f>G34/2</f>
        <v>16.792794117647059</v>
      </c>
      <c r="H38" s="419"/>
      <c r="I38" s="430"/>
      <c r="J38" s="56"/>
      <c r="K38" s="56"/>
      <c r="L38" s="328"/>
      <c r="M38" s="51"/>
      <c r="N38" s="51"/>
      <c r="O38" s="51"/>
      <c r="P38" s="51"/>
      <c r="Q38" s="269">
        <f>Q34/14</f>
        <v>1761.9857142857143</v>
      </c>
      <c r="R38" s="268">
        <f>Q38*G38</f>
        <v>29588.663338235296</v>
      </c>
      <c r="S38" s="270">
        <f>R38*B12</f>
        <v>9645.9042482647073</v>
      </c>
      <c r="T38" s="271">
        <f t="shared" si="5"/>
        <v>39234.567586500001</v>
      </c>
      <c r="U38" s="44"/>
      <c r="V38" s="45">
        <f t="shared" si="3"/>
        <v>39234.567586500001</v>
      </c>
      <c r="W38" s="628">
        <f>V38+V39+V40+V41</f>
        <v>111619.94787372</v>
      </c>
      <c r="Y38" s="160">
        <f t="shared" si="4"/>
        <v>39234.567586500001</v>
      </c>
      <c r="AA38" s="3"/>
      <c r="AB38" s="3"/>
      <c r="AC38" s="3"/>
      <c r="AD38" s="3"/>
    </row>
    <row r="39" spans="1:30" ht="15.95" customHeight="1" x14ac:dyDescent="0.25">
      <c r="A39" s="52" t="s">
        <v>326</v>
      </c>
      <c r="B39" s="441"/>
      <c r="C39" s="53" t="s">
        <v>16</v>
      </c>
      <c r="D39" s="52"/>
      <c r="E39" s="54"/>
      <c r="F39" s="52">
        <f>F38*0.4</f>
        <v>11419.1</v>
      </c>
      <c r="G39" s="58">
        <v>16.79</v>
      </c>
      <c r="H39" s="419">
        <v>3.63</v>
      </c>
      <c r="I39" s="430">
        <v>0.4</v>
      </c>
      <c r="J39" s="56"/>
      <c r="K39" s="56"/>
      <c r="L39" s="328"/>
      <c r="M39" s="51"/>
      <c r="N39" s="51"/>
      <c r="O39" s="51"/>
      <c r="P39" s="51"/>
      <c r="Q39" s="269">
        <f>R39/G40</f>
        <v>2468.4</v>
      </c>
      <c r="R39" s="268">
        <f>F39*H39</f>
        <v>41451.332999999999</v>
      </c>
      <c r="S39" s="270">
        <f>R39*B12</f>
        <v>13513.134558</v>
      </c>
      <c r="T39" s="271">
        <f t="shared" si="5"/>
        <v>54964.467557999997</v>
      </c>
      <c r="U39" s="44"/>
      <c r="V39" s="45">
        <f t="shared" si="3"/>
        <v>54964.467557999997</v>
      </c>
      <c r="W39" s="628"/>
      <c r="Y39" s="160">
        <f t="shared" si="4"/>
        <v>54964.467557999997</v>
      </c>
      <c r="AA39" s="3"/>
      <c r="AB39" s="3"/>
      <c r="AC39" s="3"/>
      <c r="AD39" s="3"/>
    </row>
    <row r="40" spans="1:30" ht="15.95" customHeight="1" x14ac:dyDescent="0.25">
      <c r="A40" s="52" t="s">
        <v>320</v>
      </c>
      <c r="B40" s="441"/>
      <c r="C40" s="53" t="s">
        <v>16</v>
      </c>
      <c r="D40" s="52"/>
      <c r="E40" s="54"/>
      <c r="F40" s="52"/>
      <c r="G40" s="58">
        <f>G38</f>
        <v>16.792794117647059</v>
      </c>
      <c r="H40" s="419">
        <v>289</v>
      </c>
      <c r="I40" s="430"/>
      <c r="J40" s="56"/>
      <c r="K40" s="56"/>
      <c r="L40" s="328"/>
      <c r="M40" s="51"/>
      <c r="N40" s="51"/>
      <c r="O40" s="51"/>
      <c r="P40" s="51"/>
      <c r="Q40" s="269">
        <v>24.08</v>
      </c>
      <c r="R40" s="268">
        <f>H40*G40</f>
        <v>4853.1175000000003</v>
      </c>
      <c r="S40" s="270">
        <f>R40*B12</f>
        <v>1582.1163050000002</v>
      </c>
      <c r="T40" s="271">
        <f t="shared" si="5"/>
        <v>6435.2338050000008</v>
      </c>
      <c r="U40" s="44"/>
      <c r="V40" s="45">
        <f t="shared" si="3"/>
        <v>6435.2338050000008</v>
      </c>
      <c r="W40" s="628"/>
      <c r="Y40" s="160">
        <f t="shared" si="4"/>
        <v>6435.2338050000008</v>
      </c>
      <c r="AA40" s="3"/>
      <c r="AB40" s="3"/>
      <c r="AC40" s="3"/>
      <c r="AD40" s="3"/>
    </row>
    <row r="41" spans="1:30" ht="15.95" customHeight="1" x14ac:dyDescent="0.25">
      <c r="A41" s="52" t="s">
        <v>327</v>
      </c>
      <c r="B41" s="441"/>
      <c r="C41" s="53" t="s">
        <v>16</v>
      </c>
      <c r="D41" s="52"/>
      <c r="E41" s="54"/>
      <c r="F41" s="52">
        <f>F38*0.2</f>
        <v>5709.55</v>
      </c>
      <c r="G41" s="58">
        <f>G40</f>
        <v>16.792794117647059</v>
      </c>
      <c r="H41" s="419">
        <f>H35</f>
        <v>1.4510470588235294</v>
      </c>
      <c r="I41" s="430">
        <v>0.2</v>
      </c>
      <c r="J41" s="56"/>
      <c r="K41" s="56"/>
      <c r="L41" s="328"/>
      <c r="M41" s="51"/>
      <c r="N41" s="51"/>
      <c r="O41" s="51"/>
      <c r="P41" s="51"/>
      <c r="Q41" s="269">
        <f>(F41/G41)*H41</f>
        <v>493.35599999999999</v>
      </c>
      <c r="R41" s="268">
        <f>H41*F41</f>
        <v>8284.8257347058825</v>
      </c>
      <c r="S41" s="270">
        <f>R41*B12</f>
        <v>2700.8531895141177</v>
      </c>
      <c r="T41" s="271">
        <f t="shared" si="5"/>
        <v>10985.678924219999</v>
      </c>
      <c r="U41" s="44"/>
      <c r="V41" s="45">
        <f>T41</f>
        <v>10985.678924219999</v>
      </c>
      <c r="W41" s="628"/>
      <c r="Y41" s="160">
        <f t="shared" si="4"/>
        <v>10985.678924219999</v>
      </c>
      <c r="AA41" s="3"/>
      <c r="AB41" s="3"/>
      <c r="AC41" s="3"/>
      <c r="AD41" s="3"/>
    </row>
    <row r="42" spans="1:30" ht="15.75" x14ac:dyDescent="0.25">
      <c r="A42" s="215" t="s">
        <v>302</v>
      </c>
      <c r="B42" s="52"/>
      <c r="C42" s="444" t="s">
        <v>323</v>
      </c>
      <c r="D42" s="52"/>
      <c r="E42" s="54"/>
      <c r="F42" s="425">
        <v>10705.41</v>
      </c>
      <c r="G42" s="58">
        <f>F42/1700</f>
        <v>6.2972999999999999</v>
      </c>
      <c r="H42" s="58"/>
      <c r="I42" s="417"/>
      <c r="J42" s="56"/>
      <c r="K42" s="56"/>
      <c r="L42" s="328"/>
      <c r="M42" s="51"/>
      <c r="N42" s="51"/>
      <c r="O42" s="51"/>
      <c r="P42" s="51"/>
      <c r="Q42" s="329">
        <v>24667.8</v>
      </c>
      <c r="R42" s="268">
        <f>Q42*G42</f>
        <v>155340.53693999999</v>
      </c>
      <c r="S42" s="270">
        <f t="shared" ref="S42" si="6">R42*32.6%</f>
        <v>50641.015042439998</v>
      </c>
      <c r="T42" s="271">
        <f t="shared" si="2"/>
        <v>205981.55198244</v>
      </c>
      <c r="U42" s="44"/>
      <c r="V42" s="45">
        <f t="shared" si="3"/>
        <v>205981.55198244</v>
      </c>
      <c r="W42" s="628">
        <f>V42:V57</f>
        <v>205981.55198244</v>
      </c>
      <c r="Y42" s="160">
        <f t="shared" si="4"/>
        <v>205981.55198244</v>
      </c>
      <c r="AA42" s="3"/>
      <c r="AB42" s="3"/>
      <c r="AC42" s="3"/>
      <c r="AD42" s="3"/>
    </row>
    <row r="43" spans="1:30" ht="15.75" x14ac:dyDescent="0.25">
      <c r="A43" s="214" t="s">
        <v>293</v>
      </c>
      <c r="B43" s="52"/>
      <c r="C43" s="53"/>
      <c r="D43" s="52"/>
      <c r="E43" s="54"/>
      <c r="F43" s="52">
        <f>F42*I43</f>
        <v>2141.0819999999999</v>
      </c>
      <c r="G43" s="58">
        <v>6.2972999999999999</v>
      </c>
      <c r="H43" s="419">
        <f>(Q42/1700)*0.1</f>
        <v>1.4510470588235294</v>
      </c>
      <c r="I43" s="430">
        <v>0.2</v>
      </c>
      <c r="J43" s="56"/>
      <c r="K43" s="56"/>
      <c r="L43" s="328"/>
      <c r="M43" s="51"/>
      <c r="N43" s="51"/>
      <c r="O43" s="51"/>
      <c r="P43" s="51"/>
      <c r="Q43" s="329">
        <f>H43*(F43/G43)</f>
        <v>493.35599999999999</v>
      </c>
      <c r="R43" s="268">
        <f>H43*F43</f>
        <v>3106.8107387999999</v>
      </c>
      <c r="S43" s="426">
        <f>R43*B12</f>
        <v>1012.8203008488</v>
      </c>
      <c r="T43" s="271">
        <f t="shared" si="2"/>
        <v>4119.6310396487997</v>
      </c>
      <c r="U43" s="44"/>
      <c r="V43" s="45">
        <f t="shared" si="3"/>
        <v>4119.6310396487997</v>
      </c>
      <c r="W43" s="628"/>
      <c r="Y43" s="160">
        <f t="shared" si="4"/>
        <v>4119.6310396487997</v>
      </c>
      <c r="AA43" s="3"/>
      <c r="AB43" s="3"/>
      <c r="AC43" s="3"/>
      <c r="AD43" s="3"/>
    </row>
    <row r="44" spans="1:30" ht="15.75" x14ac:dyDescent="0.25">
      <c r="A44" s="214" t="s">
        <v>282</v>
      </c>
      <c r="B44" s="52"/>
      <c r="C44" s="53"/>
      <c r="D44" s="52"/>
      <c r="E44" s="54"/>
      <c r="F44" s="52">
        <f>F42*I44</f>
        <v>4282.1639999999998</v>
      </c>
      <c r="G44" s="58">
        <v>6.2972999999999999</v>
      </c>
      <c r="H44" s="58">
        <f>(Q42/1700)*0.25</f>
        <v>3.6276176470588233</v>
      </c>
      <c r="I44" s="430">
        <v>0.4</v>
      </c>
      <c r="J44" s="56"/>
      <c r="K44" s="56"/>
      <c r="L44" s="328"/>
      <c r="M44" s="51"/>
      <c r="N44" s="51"/>
      <c r="O44" s="51"/>
      <c r="P44" s="51"/>
      <c r="Q44" s="329">
        <f>H44*(F44/G44)</f>
        <v>2466.7799999999997</v>
      </c>
      <c r="R44" s="268">
        <f>H44*F44</f>
        <v>15534.053693999998</v>
      </c>
      <c r="S44" s="270">
        <f>R44*3</f>
        <v>46602.161081999991</v>
      </c>
      <c r="T44" s="271">
        <f t="shared" si="2"/>
        <v>62136.214775999993</v>
      </c>
      <c r="U44" s="44"/>
      <c r="V44" s="45">
        <f t="shared" si="3"/>
        <v>62136.214775999993</v>
      </c>
      <c r="W44" s="628"/>
      <c r="Y44" s="160">
        <f t="shared" si="4"/>
        <v>62136.214775999993</v>
      </c>
      <c r="AA44" s="3"/>
      <c r="AB44" s="3"/>
      <c r="AC44" s="3"/>
      <c r="AD44" s="3"/>
    </row>
    <row r="45" spans="1:30" ht="15.75" x14ac:dyDescent="0.25">
      <c r="A45" s="214" t="s">
        <v>296</v>
      </c>
      <c r="B45" s="52"/>
      <c r="C45" s="53"/>
      <c r="D45" s="52"/>
      <c r="E45" s="54"/>
      <c r="F45" s="52">
        <v>12</v>
      </c>
      <c r="G45" s="58">
        <v>6.2972999999999999</v>
      </c>
      <c r="H45" s="58">
        <v>289.06</v>
      </c>
      <c r="I45" s="430"/>
      <c r="J45" s="56"/>
      <c r="K45" s="56"/>
      <c r="L45" s="328"/>
      <c r="M45" s="51"/>
      <c r="N45" s="51"/>
      <c r="O45" s="51"/>
      <c r="P45" s="51"/>
      <c r="Q45" s="329">
        <f>F45*H45</f>
        <v>3468.7200000000003</v>
      </c>
      <c r="R45" s="268">
        <f>F45*G45*H45</f>
        <v>21843.570456000001</v>
      </c>
      <c r="S45" s="270">
        <f>R45*B12</f>
        <v>7121.0039686560003</v>
      </c>
      <c r="T45" s="271">
        <f t="shared" ref="T45:T53" si="7">R45+S45</f>
        <v>28964.574424656003</v>
      </c>
      <c r="U45" s="44"/>
      <c r="V45" s="45">
        <f t="shared" si="3"/>
        <v>28964.574424656003</v>
      </c>
      <c r="W45" s="628"/>
      <c r="Y45" s="160">
        <f t="shared" si="4"/>
        <v>28964.574424656003</v>
      </c>
      <c r="AA45" s="3"/>
      <c r="AB45" s="3"/>
      <c r="AC45" s="3"/>
      <c r="AD45" s="3"/>
    </row>
    <row r="46" spans="1:30" ht="15.75" x14ac:dyDescent="0.25">
      <c r="A46" s="214" t="s">
        <v>325</v>
      </c>
      <c r="B46" s="52"/>
      <c r="C46" s="53" t="s">
        <v>16</v>
      </c>
      <c r="D46" s="52"/>
      <c r="E46" s="54"/>
      <c r="F46" s="52">
        <v>5352.5</v>
      </c>
      <c r="G46" s="58">
        <v>3.15</v>
      </c>
      <c r="H46" s="58"/>
      <c r="I46" s="430"/>
      <c r="J46" s="56"/>
      <c r="K46" s="56"/>
      <c r="L46" s="328"/>
      <c r="M46" s="51"/>
      <c r="N46" s="51"/>
      <c r="O46" s="51"/>
      <c r="P46" s="51"/>
      <c r="Q46" s="329">
        <f>(Q34/14)</f>
        <v>1761.9857142857143</v>
      </c>
      <c r="R46" s="268">
        <f>Q46*G46</f>
        <v>5550.2550000000001</v>
      </c>
      <c r="S46" s="270">
        <f>R46*B12</f>
        <v>1809.3831300000002</v>
      </c>
      <c r="T46" s="271">
        <f t="shared" si="7"/>
        <v>7359.6381300000003</v>
      </c>
      <c r="U46" s="44"/>
      <c r="V46" s="45">
        <f t="shared" si="3"/>
        <v>7359.6381300000003</v>
      </c>
      <c r="W46" s="628"/>
      <c r="Y46" s="160">
        <f t="shared" si="4"/>
        <v>7359.6381300000003</v>
      </c>
      <c r="AA46" s="3"/>
      <c r="AB46" s="3"/>
      <c r="AC46" s="3"/>
      <c r="AD46" s="3"/>
    </row>
    <row r="47" spans="1:30" ht="15.75" x14ac:dyDescent="0.25">
      <c r="A47" s="214" t="s">
        <v>320</v>
      </c>
      <c r="B47" s="52"/>
      <c r="C47" s="53" t="s">
        <v>16</v>
      </c>
      <c r="D47" s="52"/>
      <c r="E47" s="54"/>
      <c r="F47" s="52">
        <v>1</v>
      </c>
      <c r="G47" s="58">
        <f>G46</f>
        <v>3.15</v>
      </c>
      <c r="H47" s="58">
        <v>289</v>
      </c>
      <c r="I47" s="430"/>
      <c r="J47" s="56"/>
      <c r="K47" s="56"/>
      <c r="L47" s="328"/>
      <c r="M47" s="51"/>
      <c r="N47" s="51"/>
      <c r="O47" s="51"/>
      <c r="P47" s="51"/>
      <c r="Q47" s="329">
        <f>H47</f>
        <v>289</v>
      </c>
      <c r="R47" s="442">
        <f>Q47*G47</f>
        <v>910.35</v>
      </c>
      <c r="S47" s="270">
        <f>R47*B12</f>
        <v>296.77410000000003</v>
      </c>
      <c r="T47" s="443">
        <f t="shared" si="7"/>
        <v>1207.1241</v>
      </c>
      <c r="U47" s="44"/>
      <c r="V47" s="45">
        <f t="shared" si="3"/>
        <v>1207.1241</v>
      </c>
      <c r="W47" s="628"/>
      <c r="Y47" s="160">
        <f t="shared" si="4"/>
        <v>1207.1241</v>
      </c>
      <c r="AA47" s="3"/>
      <c r="AB47" s="3"/>
      <c r="AC47" s="3"/>
      <c r="AD47" s="3"/>
    </row>
    <row r="48" spans="1:30" ht="15.75" x14ac:dyDescent="0.25">
      <c r="A48" s="214" t="s">
        <v>321</v>
      </c>
      <c r="B48" s="52"/>
      <c r="C48" s="53" t="s">
        <v>16</v>
      </c>
      <c r="D48" s="52"/>
      <c r="E48" s="54"/>
      <c r="F48" s="52">
        <f>F46*I48</f>
        <v>1070.5</v>
      </c>
      <c r="G48" s="58">
        <v>3.15</v>
      </c>
      <c r="H48" s="58">
        <v>1.45</v>
      </c>
      <c r="I48" s="430">
        <v>0.2</v>
      </c>
      <c r="J48" s="56"/>
      <c r="K48" s="56"/>
      <c r="L48" s="328"/>
      <c r="M48" s="51"/>
      <c r="N48" s="51"/>
      <c r="O48" s="51"/>
      <c r="P48" s="51"/>
      <c r="Q48" s="329">
        <f>(R48/G48)</f>
        <v>492.76984126984127</v>
      </c>
      <c r="R48" s="268">
        <f>F48*H48</f>
        <v>1552.2249999999999</v>
      </c>
      <c r="S48" s="270">
        <f>R48*B12</f>
        <v>506.02535</v>
      </c>
      <c r="T48" s="271">
        <f t="shared" si="7"/>
        <v>2058.2503499999998</v>
      </c>
      <c r="U48" s="44"/>
      <c r="V48" s="45">
        <f t="shared" si="3"/>
        <v>2058.2503499999998</v>
      </c>
      <c r="W48" s="628"/>
      <c r="Y48" s="160">
        <f t="shared" si="4"/>
        <v>2058.2503499999998</v>
      </c>
      <c r="AA48" s="3"/>
      <c r="AB48" s="3"/>
      <c r="AC48" s="3"/>
      <c r="AD48" s="3"/>
    </row>
    <row r="49" spans="1:30" ht="15.75" x14ac:dyDescent="0.25">
      <c r="A49" s="214" t="s">
        <v>319</v>
      </c>
      <c r="B49" s="52"/>
      <c r="C49" s="53" t="s">
        <v>16</v>
      </c>
      <c r="D49" s="52"/>
      <c r="E49" s="54"/>
      <c r="F49" s="52">
        <f>F46*0.4</f>
        <v>2141</v>
      </c>
      <c r="G49" s="58">
        <f>G48</f>
        <v>3.15</v>
      </c>
      <c r="H49" s="58">
        <f>H44</f>
        <v>3.6276176470588233</v>
      </c>
      <c r="I49" s="430">
        <v>0.4</v>
      </c>
      <c r="J49" s="56"/>
      <c r="K49" s="56"/>
      <c r="L49" s="328"/>
      <c r="M49" s="51"/>
      <c r="N49" s="51"/>
      <c r="O49" s="51"/>
      <c r="P49" s="51"/>
      <c r="Q49" s="329">
        <f>(R49/3.15)</f>
        <v>2465.6283753501398</v>
      </c>
      <c r="R49" s="268">
        <f>H49*F49</f>
        <v>7766.7293823529408</v>
      </c>
      <c r="S49" s="270">
        <f>R49*B12</f>
        <v>2531.9537786470587</v>
      </c>
      <c r="T49" s="271">
        <f t="shared" si="7"/>
        <v>10298.683160999999</v>
      </c>
      <c r="U49" s="44"/>
      <c r="V49" s="45">
        <f t="shared" si="3"/>
        <v>10298.683160999999</v>
      </c>
      <c r="W49" s="628"/>
      <c r="Y49" s="160">
        <f t="shared" si="4"/>
        <v>10298.683160999999</v>
      </c>
      <c r="AA49" s="3"/>
      <c r="AB49" s="3"/>
      <c r="AC49" s="3"/>
      <c r="AD49" s="3"/>
    </row>
    <row r="50" spans="1:30" ht="15.75" x14ac:dyDescent="0.25">
      <c r="A50" s="215" t="s">
        <v>303</v>
      </c>
      <c r="B50" s="52"/>
      <c r="C50" s="444" t="s">
        <v>323</v>
      </c>
      <c r="D50" s="52"/>
      <c r="E50" s="54"/>
      <c r="F50" s="427">
        <v>10200</v>
      </c>
      <c r="G50" s="58">
        <f>F50/1700</f>
        <v>6</v>
      </c>
      <c r="H50" s="58"/>
      <c r="I50" s="430"/>
      <c r="J50" s="56"/>
      <c r="K50" s="56"/>
      <c r="L50" s="328"/>
      <c r="M50" s="51"/>
      <c r="N50" s="51"/>
      <c r="O50" s="51"/>
      <c r="P50" s="51"/>
      <c r="Q50" s="329">
        <v>24667.8</v>
      </c>
      <c r="R50" s="268">
        <f>Q50*G50</f>
        <v>148006.79999999999</v>
      </c>
      <c r="S50" s="270">
        <f>R50*B12</f>
        <v>48250.216799999995</v>
      </c>
      <c r="T50" s="271">
        <f t="shared" si="7"/>
        <v>196257.01679999998</v>
      </c>
      <c r="U50" s="44"/>
      <c r="V50" s="45">
        <f t="shared" si="3"/>
        <v>196257.01679999998</v>
      </c>
      <c r="W50" s="628"/>
      <c r="Y50" s="160">
        <f t="shared" si="4"/>
        <v>196257.01679999998</v>
      </c>
      <c r="AA50" s="3"/>
      <c r="AB50" s="3"/>
      <c r="AC50" s="3"/>
      <c r="AD50" s="3"/>
    </row>
    <row r="51" spans="1:30" ht="15.75" x14ac:dyDescent="0.25">
      <c r="A51" s="214" t="s">
        <v>293</v>
      </c>
      <c r="B51" s="52"/>
      <c r="C51" s="53"/>
      <c r="D51" s="52"/>
      <c r="E51" s="54"/>
      <c r="F51" s="52">
        <f>F50*I51</f>
        <v>2040</v>
      </c>
      <c r="G51" s="58"/>
      <c r="H51" s="58">
        <f>(Q50/1700)*0.1</f>
        <v>1.4510470588235294</v>
      </c>
      <c r="I51" s="430">
        <v>0.2</v>
      </c>
      <c r="J51" s="56"/>
      <c r="K51" s="56"/>
      <c r="L51" s="328"/>
      <c r="M51" s="51"/>
      <c r="N51" s="51"/>
      <c r="O51" s="51"/>
      <c r="P51" s="51"/>
      <c r="Q51" s="329">
        <f>(F51/6)*H51</f>
        <v>493.35599999999999</v>
      </c>
      <c r="R51" s="268">
        <f>F51*H51</f>
        <v>2960.136</v>
      </c>
      <c r="S51" s="270">
        <f>R51*B12</f>
        <v>965.00433600000008</v>
      </c>
      <c r="T51" s="271">
        <f t="shared" si="7"/>
        <v>3925.1403359999999</v>
      </c>
      <c r="U51" s="44"/>
      <c r="V51" s="45">
        <f t="shared" si="3"/>
        <v>3925.1403359999999</v>
      </c>
      <c r="W51" s="628"/>
      <c r="Y51" s="160">
        <f t="shared" si="4"/>
        <v>3925.1403359999999</v>
      </c>
      <c r="AA51" s="3"/>
      <c r="AB51" s="3"/>
      <c r="AC51" s="3"/>
      <c r="AD51" s="3"/>
    </row>
    <row r="52" spans="1:30" ht="15.75" x14ac:dyDescent="0.25">
      <c r="A52" s="214" t="s">
        <v>282</v>
      </c>
      <c r="B52" s="52"/>
      <c r="C52" s="53"/>
      <c r="D52" s="52"/>
      <c r="E52" s="54"/>
      <c r="F52" s="52">
        <f>F50*I52</f>
        <v>4080</v>
      </c>
      <c r="G52" s="58"/>
      <c r="H52" s="58">
        <f>(Q50/1700)*0.25</f>
        <v>3.6276176470588233</v>
      </c>
      <c r="I52" s="421">
        <v>0.4</v>
      </c>
      <c r="J52" s="56"/>
      <c r="K52" s="56"/>
      <c r="L52" s="328"/>
      <c r="M52" s="51"/>
      <c r="N52" s="51"/>
      <c r="O52" s="51"/>
      <c r="P52" s="51"/>
      <c r="Q52" s="329">
        <f>(F52/6)*H52</f>
        <v>2466.7799999999997</v>
      </c>
      <c r="R52" s="268">
        <f>F52*H52</f>
        <v>14800.679999999998</v>
      </c>
      <c r="S52" s="270">
        <f>R52*B12</f>
        <v>4825.0216799999998</v>
      </c>
      <c r="T52" s="271">
        <f t="shared" si="7"/>
        <v>19625.701679999998</v>
      </c>
      <c r="U52" s="44"/>
      <c r="V52" s="45">
        <f t="shared" si="3"/>
        <v>19625.701679999998</v>
      </c>
      <c r="W52" s="628"/>
      <c r="Y52" s="160">
        <f t="shared" si="4"/>
        <v>19625.701679999998</v>
      </c>
      <c r="AA52" s="3"/>
      <c r="AB52" s="3"/>
      <c r="AC52" s="3"/>
      <c r="AD52" s="3"/>
    </row>
    <row r="53" spans="1:30" ht="15.75" x14ac:dyDescent="0.25">
      <c r="A53" s="214" t="s">
        <v>296</v>
      </c>
      <c r="B53" s="52"/>
      <c r="C53" s="53"/>
      <c r="D53" s="52"/>
      <c r="E53" s="54"/>
      <c r="F53" s="52">
        <v>12</v>
      </c>
      <c r="G53" s="58"/>
      <c r="H53" s="58">
        <v>289.06</v>
      </c>
      <c r="I53" s="421"/>
      <c r="J53" s="56"/>
      <c r="K53" s="56"/>
      <c r="L53" s="328"/>
      <c r="M53" s="51"/>
      <c r="N53" s="51"/>
      <c r="O53" s="51"/>
      <c r="P53" s="51"/>
      <c r="Q53" s="329">
        <f>F53*H53</f>
        <v>3468.7200000000003</v>
      </c>
      <c r="R53" s="268">
        <f>Q53*G50</f>
        <v>20812.32</v>
      </c>
      <c r="S53" s="270">
        <f>R53*B12</f>
        <v>6784.8163199999999</v>
      </c>
      <c r="T53" s="271">
        <f t="shared" si="7"/>
        <v>27597.136319999998</v>
      </c>
      <c r="U53" s="44"/>
      <c r="V53" s="45">
        <f>T53</f>
        <v>27597.136319999998</v>
      </c>
      <c r="W53" s="628"/>
      <c r="Y53" s="160">
        <f t="shared" si="4"/>
        <v>27597.136319999998</v>
      </c>
      <c r="AA53" s="3"/>
      <c r="AB53" s="3"/>
      <c r="AC53" s="3"/>
      <c r="AD53" s="3"/>
    </row>
    <row r="54" spans="1:30" ht="15.75" x14ac:dyDescent="0.25">
      <c r="A54" s="214" t="s">
        <v>324</v>
      </c>
      <c r="B54" s="52"/>
      <c r="C54" s="53"/>
      <c r="D54" s="52"/>
      <c r="E54" s="54"/>
      <c r="F54" s="52">
        <f>(F50/12)</f>
        <v>850</v>
      </c>
      <c r="G54" s="58">
        <f>G50/2</f>
        <v>3</v>
      </c>
      <c r="H54" s="58"/>
      <c r="I54" s="421"/>
      <c r="J54" s="56"/>
      <c r="K54" s="56"/>
      <c r="L54" s="328"/>
      <c r="M54" s="51"/>
      <c r="N54" s="51"/>
      <c r="O54" s="51"/>
      <c r="P54" s="51"/>
      <c r="Q54" s="329">
        <f>(Q50/14)</f>
        <v>1761.9857142857143</v>
      </c>
      <c r="R54" s="268">
        <f>Q54*G54</f>
        <v>5285.9571428571426</v>
      </c>
      <c r="S54" s="270">
        <f>R54*B12</f>
        <v>1723.2220285714286</v>
      </c>
      <c r="T54" s="271">
        <f t="shared" ref="T54:T56" si="8">R54+S54</f>
        <v>7009.179171428571</v>
      </c>
      <c r="U54" s="44"/>
      <c r="V54" s="45">
        <f t="shared" ref="V54:V56" si="9">T54</f>
        <v>7009.179171428571</v>
      </c>
      <c r="W54" s="628"/>
      <c r="Y54" s="160">
        <f t="shared" si="4"/>
        <v>7009.179171428571</v>
      </c>
      <c r="AA54" s="3"/>
      <c r="AB54" s="3"/>
      <c r="AC54" s="3"/>
      <c r="AD54" s="3"/>
    </row>
    <row r="55" spans="1:30" ht="15.75" x14ac:dyDescent="0.25">
      <c r="A55" s="436" t="s">
        <v>293</v>
      </c>
      <c r="B55" s="47"/>
      <c r="C55" s="48"/>
      <c r="D55" s="47"/>
      <c r="E55" s="49"/>
      <c r="F55" s="47">
        <f>(F50/12)*20%</f>
        <v>170</v>
      </c>
      <c r="G55" s="246"/>
      <c r="H55" s="246">
        <v>1.45</v>
      </c>
      <c r="I55" s="445">
        <v>0.2</v>
      </c>
      <c r="J55" s="446"/>
      <c r="K55" s="446"/>
      <c r="L55" s="610"/>
      <c r="M55" s="51"/>
      <c r="N55" s="51"/>
      <c r="O55" s="51"/>
      <c r="P55" s="51"/>
      <c r="Q55" s="329">
        <f>(F55*H55)/3</f>
        <v>82.166666666666671</v>
      </c>
      <c r="R55" s="270">
        <f>H55*F55</f>
        <v>246.5</v>
      </c>
      <c r="S55" s="270">
        <f>R55*B12</f>
        <v>80.359000000000009</v>
      </c>
      <c r="T55" s="271">
        <f t="shared" si="8"/>
        <v>326.85900000000004</v>
      </c>
      <c r="U55" s="448"/>
      <c r="V55" s="45">
        <f t="shared" si="9"/>
        <v>326.85900000000004</v>
      </c>
      <c r="W55" s="628"/>
      <c r="Y55" s="160">
        <f t="shared" si="4"/>
        <v>326.85900000000004</v>
      </c>
      <c r="AA55" s="3"/>
      <c r="AB55" s="3"/>
      <c r="AC55" s="3"/>
      <c r="AD55" s="3"/>
    </row>
    <row r="56" spans="1:30" ht="15.75" x14ac:dyDescent="0.25">
      <c r="A56" s="214" t="s">
        <v>319</v>
      </c>
      <c r="B56" s="52"/>
      <c r="C56" s="53"/>
      <c r="D56" s="52"/>
      <c r="E56" s="54"/>
      <c r="F56" s="52">
        <f>(F50/12)*40%</f>
        <v>340</v>
      </c>
      <c r="G56" s="58">
        <v>3</v>
      </c>
      <c r="H56" s="58">
        <v>3.63</v>
      </c>
      <c r="I56" s="421"/>
      <c r="J56" s="56"/>
      <c r="K56" s="56"/>
      <c r="L56" s="328"/>
      <c r="M56" s="51"/>
      <c r="N56" s="51"/>
      <c r="O56" s="51"/>
      <c r="P56" s="51"/>
      <c r="Q56" s="329">
        <f>R56/3</f>
        <v>411.40000000000003</v>
      </c>
      <c r="R56" s="270">
        <f>H56*F56</f>
        <v>1234.2</v>
      </c>
      <c r="S56" s="270">
        <f>R56*B13</f>
        <v>64.548659999999998</v>
      </c>
      <c r="T56" s="447">
        <f t="shared" si="8"/>
        <v>1298.74866</v>
      </c>
      <c r="U56" s="450"/>
      <c r="V56" s="449">
        <f t="shared" si="9"/>
        <v>1298.74866</v>
      </c>
      <c r="W56" s="628"/>
      <c r="Y56" s="160">
        <f t="shared" si="4"/>
        <v>1298.74866</v>
      </c>
    </row>
    <row r="57" spans="1:30" x14ac:dyDescent="0.25">
      <c r="A57" s="232" t="s">
        <v>328</v>
      </c>
      <c r="B57" s="7"/>
      <c r="C57" s="7"/>
      <c r="D57" s="7"/>
      <c r="E57" s="7"/>
      <c r="F57" s="119">
        <v>1</v>
      </c>
      <c r="G57" s="457">
        <v>3</v>
      </c>
      <c r="H57" s="458">
        <v>289</v>
      </c>
      <c r="I57" s="7"/>
      <c r="J57" s="7"/>
      <c r="K57" s="7"/>
      <c r="L57" s="365"/>
      <c r="M57" s="7"/>
      <c r="N57" s="7"/>
      <c r="O57" s="7"/>
      <c r="P57" s="7"/>
      <c r="Q57" s="459">
        <f>H57</f>
        <v>289</v>
      </c>
      <c r="R57" s="81">
        <f>H57*G57</f>
        <v>867</v>
      </c>
      <c r="S57" s="270">
        <f>R57*B14</f>
        <v>21.241500000000002</v>
      </c>
      <c r="T57" s="447">
        <f t="shared" ref="T57" si="10">R57+S57</f>
        <v>888.24149999999997</v>
      </c>
      <c r="U57" s="450"/>
      <c r="V57" s="449">
        <f t="shared" ref="V57" si="11">T57</f>
        <v>888.24149999999997</v>
      </c>
      <c r="W57" s="628"/>
      <c r="Y57" s="160">
        <f t="shared" si="4"/>
        <v>888.24149999999997</v>
      </c>
    </row>
    <row r="58" spans="1:30" x14ac:dyDescent="0.25">
      <c r="A58" s="451" t="s">
        <v>124</v>
      </c>
      <c r="B58" s="452"/>
      <c r="C58" s="453"/>
      <c r="D58" s="452"/>
      <c r="E58" s="454"/>
      <c r="F58" s="452"/>
      <c r="G58" s="455"/>
      <c r="H58" s="455"/>
      <c r="I58" s="455"/>
      <c r="J58" s="456"/>
      <c r="K58" s="456"/>
      <c r="L58" s="611"/>
      <c r="M58" s="613"/>
      <c r="N58" s="613"/>
      <c r="O58" s="613"/>
      <c r="P58" s="613"/>
      <c r="Q58" s="460"/>
      <c r="R58" s="433">
        <f>SUM(R30:R57)</f>
        <v>1538866.5523493043</v>
      </c>
      <c r="S58" s="460"/>
      <c r="T58" s="461"/>
      <c r="U58" s="462"/>
      <c r="V58" s="463">
        <f>SUM(V59:V69)</f>
        <v>430616.48613704758</v>
      </c>
      <c r="W58" s="630"/>
      <c r="Y58" s="160"/>
      <c r="AA58" s="3"/>
      <c r="AB58" s="3"/>
      <c r="AC58" s="3"/>
      <c r="AD58" s="3"/>
    </row>
    <row r="59" spans="1:30" x14ac:dyDescent="0.25">
      <c r="A59" s="435" t="s">
        <v>304</v>
      </c>
      <c r="B59" s="404"/>
      <c r="C59" s="405"/>
      <c r="D59" s="404"/>
      <c r="E59" s="406"/>
      <c r="F59" s="404">
        <v>6800</v>
      </c>
      <c r="G59" s="434">
        <f>F59/1700</f>
        <v>4</v>
      </c>
      <c r="H59" s="434"/>
      <c r="I59" s="434"/>
      <c r="J59" s="408"/>
      <c r="K59" s="408"/>
      <c r="L59" s="409"/>
      <c r="M59" s="620">
        <v>26010.48</v>
      </c>
      <c r="N59" s="620">
        <f>G59*M59</f>
        <v>104041.92</v>
      </c>
      <c r="O59" s="620">
        <f>N59*32.6%</f>
        <v>33917.665919999999</v>
      </c>
      <c r="P59" s="620">
        <f>N59+O59</f>
        <v>137959.58591999998</v>
      </c>
      <c r="Q59" s="614">
        <f>Q50</f>
        <v>24667.8</v>
      </c>
      <c r="R59" s="410">
        <f>G59*Q59</f>
        <v>98671.2</v>
      </c>
      <c r="S59" s="411">
        <f>R59*B12</f>
        <v>32166.8112</v>
      </c>
      <c r="T59" s="412">
        <f>R59+S59</f>
        <v>130838.01119999999</v>
      </c>
      <c r="U59" s="413"/>
      <c r="V59" s="414">
        <f>T59</f>
        <v>130838.01119999999</v>
      </c>
      <c r="W59" s="492"/>
      <c r="Y59" s="160">
        <f t="shared" ref="Y59:Y69" si="12">V59</f>
        <v>130838.01119999999</v>
      </c>
      <c r="AA59" s="3"/>
      <c r="AB59" s="3"/>
      <c r="AC59" s="3"/>
      <c r="AD59" s="3"/>
    </row>
    <row r="60" spans="1:30" x14ac:dyDescent="0.25">
      <c r="A60" s="435" t="s">
        <v>301</v>
      </c>
      <c r="B60" s="404"/>
      <c r="C60" s="405"/>
      <c r="D60" s="404"/>
      <c r="E60" s="406"/>
      <c r="F60" s="404">
        <v>12</v>
      </c>
      <c r="G60" s="434">
        <v>1</v>
      </c>
      <c r="H60" s="407">
        <v>92.92</v>
      </c>
      <c r="I60" s="434"/>
      <c r="J60" s="408"/>
      <c r="K60" s="408"/>
      <c r="L60" s="409"/>
      <c r="M60" s="620">
        <v>37239.96</v>
      </c>
      <c r="N60" s="620">
        <f>M60*1</f>
        <v>37239.96</v>
      </c>
      <c r="O60" s="620">
        <f>N60*32.6%</f>
        <v>12140.22696</v>
      </c>
      <c r="P60" s="620">
        <f>N60+O60</f>
        <v>49380.186959999999</v>
      </c>
      <c r="Q60" s="614">
        <f>F60*G60*H60</f>
        <v>1115.04</v>
      </c>
      <c r="R60" s="410">
        <f>Q60</f>
        <v>1115.04</v>
      </c>
      <c r="S60" s="411">
        <f>R60*B12</f>
        <v>363.50304</v>
      </c>
      <c r="T60" s="412">
        <f>R60+S60</f>
        <v>1478.54304</v>
      </c>
      <c r="U60" s="413"/>
      <c r="V60" s="414">
        <f>T60</f>
        <v>1478.54304</v>
      </c>
      <c r="W60" s="492"/>
      <c r="Y60" s="160">
        <f t="shared" si="12"/>
        <v>1478.54304</v>
      </c>
      <c r="AA60" s="3"/>
      <c r="AB60" s="3"/>
      <c r="AC60" s="3"/>
      <c r="AD60" s="3"/>
    </row>
    <row r="61" spans="1:30" x14ac:dyDescent="0.25">
      <c r="A61" s="214" t="s">
        <v>305</v>
      </c>
      <c r="B61" s="52"/>
      <c r="C61" s="53"/>
      <c r="D61" s="52"/>
      <c r="E61" s="54"/>
      <c r="F61" s="52">
        <v>1226.83</v>
      </c>
      <c r="G61" s="58">
        <f t="shared" ref="G61:G69" si="13">F61/1700</f>
        <v>0.72166470588235287</v>
      </c>
      <c r="H61" s="58"/>
      <c r="I61" s="58"/>
      <c r="J61" s="56"/>
      <c r="K61" s="56"/>
      <c r="L61" s="328"/>
      <c r="M61" s="51"/>
      <c r="N61" s="51"/>
      <c r="O61" s="51"/>
      <c r="P61" s="51"/>
      <c r="Q61" s="269">
        <v>24667.8</v>
      </c>
      <c r="R61" s="268">
        <f>Q61*G61</f>
        <v>17801.880631764703</v>
      </c>
      <c r="S61" s="270">
        <f>R61*B12</f>
        <v>5803.4130859552934</v>
      </c>
      <c r="T61" s="271">
        <f t="shared" si="2"/>
        <v>23605.293717719996</v>
      </c>
      <c r="U61" s="44"/>
      <c r="V61" s="45">
        <f t="shared" si="3"/>
        <v>23605.293717719996</v>
      </c>
      <c r="W61" s="628"/>
      <c r="Y61" s="160">
        <f t="shared" si="12"/>
        <v>23605.293717719996</v>
      </c>
      <c r="AA61" s="3"/>
      <c r="AB61" s="3"/>
      <c r="AC61" s="3"/>
      <c r="AD61" s="3"/>
    </row>
    <row r="62" spans="1:30" x14ac:dyDescent="0.25">
      <c r="A62" s="214" t="s">
        <v>306</v>
      </c>
      <c r="B62" s="52"/>
      <c r="C62" s="53"/>
      <c r="D62" s="52"/>
      <c r="E62" s="54"/>
      <c r="F62" s="52">
        <v>5100</v>
      </c>
      <c r="G62" s="58">
        <f t="shared" si="13"/>
        <v>3</v>
      </c>
      <c r="H62" s="58"/>
      <c r="I62" s="55"/>
      <c r="J62" s="56"/>
      <c r="K62" s="56"/>
      <c r="L62" s="328"/>
      <c r="M62" s="619">
        <v>22765.439999999999</v>
      </c>
      <c r="N62" s="619">
        <f>M62</f>
        <v>22765.439999999999</v>
      </c>
      <c r="O62" s="619">
        <f>N62*32.6%</f>
        <v>7421.5334400000002</v>
      </c>
      <c r="P62" s="619">
        <f>N62+O62</f>
        <v>30186.973439999998</v>
      </c>
      <c r="Q62" s="269">
        <v>22319.08</v>
      </c>
      <c r="R62" s="268">
        <f>Q62*G62</f>
        <v>66957.240000000005</v>
      </c>
      <c r="S62" s="270">
        <f>R62*B12</f>
        <v>21828.060240000003</v>
      </c>
      <c r="T62" s="271">
        <f t="shared" si="2"/>
        <v>88785.300240000011</v>
      </c>
      <c r="U62" s="44"/>
      <c r="V62" s="45">
        <f t="shared" si="3"/>
        <v>88785.300240000011</v>
      </c>
      <c r="W62" s="628"/>
      <c r="Y62" s="160">
        <f t="shared" si="12"/>
        <v>88785.300240000011</v>
      </c>
      <c r="AA62" s="3"/>
      <c r="AB62" s="3"/>
      <c r="AC62" s="3"/>
      <c r="AD62" s="3"/>
    </row>
    <row r="63" spans="1:30" x14ac:dyDescent="0.25">
      <c r="A63" s="214" t="s">
        <v>307</v>
      </c>
      <c r="B63" s="52"/>
      <c r="C63" s="53"/>
      <c r="D63" s="52"/>
      <c r="E63" s="54"/>
      <c r="F63" s="52">
        <v>3400</v>
      </c>
      <c r="G63" s="58">
        <f t="shared" si="13"/>
        <v>2</v>
      </c>
      <c r="H63" s="58"/>
      <c r="I63" s="55"/>
      <c r="J63" s="56"/>
      <c r="K63" s="56"/>
      <c r="L63" s="328"/>
      <c r="M63" s="615">
        <v>29299.08</v>
      </c>
      <c r="N63" s="615">
        <f>M63*1</f>
        <v>29299.08</v>
      </c>
      <c r="O63" s="615">
        <v>9551.5000800000016</v>
      </c>
      <c r="P63" s="615">
        <v>38850.58008</v>
      </c>
      <c r="Q63" s="269">
        <v>24667.8</v>
      </c>
      <c r="R63" s="268">
        <f>G63*Q63</f>
        <v>49335.6</v>
      </c>
      <c r="S63" s="270">
        <f>R63*B12</f>
        <v>16083.4056</v>
      </c>
      <c r="T63" s="271">
        <f t="shared" si="2"/>
        <v>65419.005599999997</v>
      </c>
      <c r="U63" s="44"/>
      <c r="V63" s="45">
        <f t="shared" si="3"/>
        <v>65419.005599999997</v>
      </c>
      <c r="W63" s="628"/>
      <c r="Y63" s="160">
        <f t="shared" si="12"/>
        <v>65419.005599999997</v>
      </c>
      <c r="AA63" s="3"/>
      <c r="AB63" s="3"/>
      <c r="AC63" s="3"/>
      <c r="AD63" s="3"/>
    </row>
    <row r="64" spans="1:30" x14ac:dyDescent="0.25">
      <c r="A64" s="214" t="s">
        <v>308</v>
      </c>
      <c r="B64" s="52"/>
      <c r="C64" s="53"/>
      <c r="D64" s="52"/>
      <c r="E64" s="54"/>
      <c r="F64" s="52">
        <v>1700</v>
      </c>
      <c r="G64" s="58">
        <f t="shared" si="13"/>
        <v>1</v>
      </c>
      <c r="H64" s="58"/>
      <c r="I64" s="55"/>
      <c r="J64" s="56"/>
      <c r="K64" s="56"/>
      <c r="L64" s="328"/>
      <c r="M64" s="615">
        <v>29299.08</v>
      </c>
      <c r="N64" s="615">
        <f>M64*1</f>
        <v>29299.08</v>
      </c>
      <c r="O64" s="615">
        <f>M64*B12</f>
        <v>9551.5000800000016</v>
      </c>
      <c r="P64" s="615">
        <f>M64+O64</f>
        <v>38850.58008</v>
      </c>
      <c r="Q64" s="269">
        <v>24667.8</v>
      </c>
      <c r="R64" s="268">
        <f>Q64*G64</f>
        <v>24667.8</v>
      </c>
      <c r="S64" s="270">
        <f>R64*B12</f>
        <v>8041.7028</v>
      </c>
      <c r="T64" s="271">
        <f t="shared" si="2"/>
        <v>32709.502799999998</v>
      </c>
      <c r="U64" s="44"/>
      <c r="V64" s="45">
        <f t="shared" si="3"/>
        <v>32709.502799999998</v>
      </c>
      <c r="W64" s="628"/>
      <c r="Y64" s="160">
        <f t="shared" si="12"/>
        <v>32709.502799999998</v>
      </c>
      <c r="AA64" s="3"/>
      <c r="AB64" s="3"/>
      <c r="AC64" s="3"/>
      <c r="AD64" s="3"/>
    </row>
    <row r="65" spans="1:30" x14ac:dyDescent="0.25">
      <c r="A65" s="436" t="s">
        <v>309</v>
      </c>
      <c r="B65" s="47"/>
      <c r="C65" s="48"/>
      <c r="D65" s="47">
        <v>7.56</v>
      </c>
      <c r="E65" s="49">
        <v>37.799999999999997</v>
      </c>
      <c r="F65" s="47">
        <v>3400</v>
      </c>
      <c r="G65" s="246">
        <f t="shared" si="13"/>
        <v>2</v>
      </c>
      <c r="H65" s="246"/>
      <c r="I65" s="246"/>
      <c r="J65" s="50"/>
      <c r="K65" s="50"/>
      <c r="L65" s="610"/>
      <c r="M65" s="619">
        <v>24149.52</v>
      </c>
      <c r="N65" s="619">
        <f>M65*G65</f>
        <v>48299.040000000001</v>
      </c>
      <c r="O65" s="619">
        <f>N65*32.6%</f>
        <v>15745.48704</v>
      </c>
      <c r="P65" s="619">
        <f>N65+O65</f>
        <v>64044.527040000001</v>
      </c>
      <c r="Q65" s="269">
        <v>22319</v>
      </c>
      <c r="R65" s="268">
        <f>Q65*G65</f>
        <v>44638</v>
      </c>
      <c r="S65" s="269">
        <f>R65*B12</f>
        <v>14551.988000000001</v>
      </c>
      <c r="T65" s="271">
        <f t="shared" si="2"/>
        <v>59189.987999999998</v>
      </c>
      <c r="U65" s="247">
        <f>IF(L65&gt;T65,L65,T65)</f>
        <v>59189.987999999998</v>
      </c>
      <c r="V65" s="45">
        <f t="shared" si="3"/>
        <v>59189.987999999998</v>
      </c>
      <c r="W65" s="628"/>
      <c r="Y65" s="160">
        <f t="shared" si="12"/>
        <v>59189.987999999998</v>
      </c>
      <c r="AA65" s="3"/>
      <c r="AB65" s="3"/>
      <c r="AC65" s="3"/>
      <c r="AD65" s="3"/>
    </row>
    <row r="66" spans="1:30" x14ac:dyDescent="0.25">
      <c r="A66" s="436" t="s">
        <v>310</v>
      </c>
      <c r="B66" s="47"/>
      <c r="C66" s="48"/>
      <c r="D66" s="47"/>
      <c r="E66" s="49"/>
      <c r="F66" s="47">
        <v>1700</v>
      </c>
      <c r="G66" s="246">
        <f t="shared" si="13"/>
        <v>1</v>
      </c>
      <c r="H66" s="246"/>
      <c r="I66" s="246"/>
      <c r="J66" s="50"/>
      <c r="K66" s="50"/>
      <c r="L66" s="610"/>
      <c r="M66" s="615">
        <v>20661.12</v>
      </c>
      <c r="N66" s="615">
        <f>M66</f>
        <v>20661.12</v>
      </c>
      <c r="O66" s="615">
        <f>N66*B12</f>
        <v>6735.5251200000002</v>
      </c>
      <c r="P66" s="615">
        <f>N66+O66</f>
        <v>27396.645120000001</v>
      </c>
      <c r="Q66" s="269">
        <v>19546.099999999999</v>
      </c>
      <c r="R66" s="268">
        <f>Q66*G66</f>
        <v>19546.099999999999</v>
      </c>
      <c r="S66" s="269">
        <f>R66*32.6%</f>
        <v>6372.0285999999996</v>
      </c>
      <c r="T66" s="271">
        <f t="shared" si="2"/>
        <v>25918.128599999996</v>
      </c>
      <c r="U66" s="247"/>
      <c r="V66" s="45">
        <f t="shared" si="3"/>
        <v>25918.128599999996</v>
      </c>
      <c r="W66" s="628"/>
      <c r="Y66" s="160">
        <f t="shared" si="12"/>
        <v>25918.128599999996</v>
      </c>
      <c r="AA66" s="3"/>
      <c r="AB66" s="3"/>
      <c r="AC66" s="3"/>
      <c r="AD66" s="3"/>
    </row>
    <row r="67" spans="1:30" x14ac:dyDescent="0.25">
      <c r="A67" s="436" t="s">
        <v>293</v>
      </c>
      <c r="B67" s="47"/>
      <c r="C67" s="48"/>
      <c r="D67" s="47"/>
      <c r="E67" s="49"/>
      <c r="F67" s="47">
        <f>F66*I67</f>
        <v>340</v>
      </c>
      <c r="G67" s="246">
        <f>(19546.1/1700)*0.1</f>
        <v>1.1497705882352942</v>
      </c>
      <c r="H67" s="202">
        <f>F67*G67</f>
        <v>390.92200000000003</v>
      </c>
      <c r="I67" s="445">
        <v>0.2</v>
      </c>
      <c r="J67" s="50"/>
      <c r="K67" s="50"/>
      <c r="L67" s="610"/>
      <c r="M67" s="615"/>
      <c r="N67" s="615"/>
      <c r="O67" s="615"/>
      <c r="P67" s="615"/>
      <c r="Q67" s="269">
        <f>H67*G67</f>
        <v>449.47061789411771</v>
      </c>
      <c r="R67" s="268">
        <f>Q67</f>
        <v>449.47061789411771</v>
      </c>
      <c r="S67" s="269">
        <f>R67*B12</f>
        <v>146.52742143348237</v>
      </c>
      <c r="T67" s="271">
        <f>R67+S67</f>
        <v>595.99803932760005</v>
      </c>
      <c r="U67" s="247"/>
      <c r="V67" s="45">
        <f t="shared" si="3"/>
        <v>595.99803932760005</v>
      </c>
      <c r="W67" s="628"/>
      <c r="Y67" s="160">
        <f t="shared" si="12"/>
        <v>595.99803932760005</v>
      </c>
      <c r="AA67" s="3"/>
      <c r="AB67" s="3"/>
      <c r="AC67" s="3"/>
      <c r="AD67" s="3"/>
    </row>
    <row r="68" spans="1:30" x14ac:dyDescent="0.25">
      <c r="A68" s="436" t="s">
        <v>416</v>
      </c>
      <c r="B68" s="47"/>
      <c r="C68" s="48"/>
      <c r="D68" s="47"/>
      <c r="E68" s="49"/>
      <c r="F68" s="47">
        <f>(F66*I68)*0.25</f>
        <v>170</v>
      </c>
      <c r="G68" s="246"/>
      <c r="H68" s="246"/>
      <c r="I68" s="445">
        <v>0.4</v>
      </c>
      <c r="J68" s="50"/>
      <c r="K68" s="50"/>
      <c r="L68" s="610"/>
      <c r="M68" s="615"/>
      <c r="N68" s="615"/>
      <c r="O68" s="615"/>
      <c r="P68" s="615"/>
      <c r="Q68" s="269">
        <f>F68</f>
        <v>170</v>
      </c>
      <c r="R68" s="268">
        <f>Q68</f>
        <v>170</v>
      </c>
      <c r="S68" s="269">
        <f>R68*32.6%</f>
        <v>55.42</v>
      </c>
      <c r="T68" s="443">
        <f>R68+S68</f>
        <v>225.42000000000002</v>
      </c>
      <c r="U68" s="247"/>
      <c r="V68" s="45">
        <f t="shared" si="3"/>
        <v>225.42000000000002</v>
      </c>
      <c r="W68" s="628"/>
      <c r="Y68" s="160">
        <f t="shared" si="12"/>
        <v>225.42000000000002</v>
      </c>
      <c r="AA68" s="3"/>
      <c r="AB68" s="3"/>
      <c r="AC68" s="3"/>
      <c r="AD68" s="3"/>
    </row>
    <row r="69" spans="1:30" x14ac:dyDescent="0.25">
      <c r="A69" s="436" t="s">
        <v>329</v>
      </c>
      <c r="B69" s="47"/>
      <c r="C69" s="464" t="s">
        <v>323</v>
      </c>
      <c r="D69" s="47"/>
      <c r="E69" s="49"/>
      <c r="F69" s="47">
        <v>141.66999999999999</v>
      </c>
      <c r="G69" s="246">
        <f t="shared" si="13"/>
        <v>8.3335294117647049E-2</v>
      </c>
      <c r="H69" s="246"/>
      <c r="I69" s="246"/>
      <c r="J69" s="50"/>
      <c r="K69" s="50"/>
      <c r="L69" s="51"/>
      <c r="M69" s="51"/>
      <c r="N69" s="51"/>
      <c r="O69" s="51"/>
      <c r="P69" s="51"/>
      <c r="Q69" s="269">
        <f>Q66/14</f>
        <v>1396.1499999999999</v>
      </c>
      <c r="R69" s="268">
        <f>Q69</f>
        <v>1396.1499999999999</v>
      </c>
      <c r="S69" s="269">
        <f>R69*B12</f>
        <v>455.14489999999995</v>
      </c>
      <c r="T69" s="271">
        <f>R69+S69</f>
        <v>1851.2948999999999</v>
      </c>
      <c r="U69" s="247"/>
      <c r="V69" s="45">
        <f t="shared" si="3"/>
        <v>1851.2948999999999</v>
      </c>
      <c r="W69" s="628"/>
      <c r="Y69" s="160">
        <f t="shared" si="12"/>
        <v>1851.2948999999999</v>
      </c>
      <c r="AA69" s="3"/>
      <c r="AB69" s="3"/>
      <c r="AC69" s="3"/>
      <c r="AD69" s="3"/>
    </row>
    <row r="70" spans="1:30" x14ac:dyDescent="0.25">
      <c r="A70" s="438" t="s">
        <v>314</v>
      </c>
      <c r="B70" s="438"/>
      <c r="C70" s="438"/>
      <c r="D70" s="438"/>
      <c r="E70" s="438"/>
      <c r="F70" s="438"/>
      <c r="G70" s="438"/>
      <c r="H70" s="438"/>
      <c r="I70" s="438"/>
      <c r="J70" s="438"/>
      <c r="K70" s="438"/>
      <c r="L70" s="438"/>
      <c r="M70" s="438"/>
      <c r="N70" s="438"/>
      <c r="O70" s="438"/>
      <c r="P70" s="438"/>
      <c r="Q70" s="438"/>
      <c r="R70" s="649">
        <f>SUM(R59:R69)</f>
        <v>324748.4812496588</v>
      </c>
      <c r="S70" s="438"/>
      <c r="T70" s="438"/>
      <c r="U70" s="438"/>
      <c r="V70" s="439">
        <f>SUM(V59:V69)</f>
        <v>430616.48613704758</v>
      </c>
      <c r="W70" s="631"/>
      <c r="Y70" s="160"/>
      <c r="AA70" s="3"/>
      <c r="AB70" s="3"/>
      <c r="AC70" s="3"/>
      <c r="AD70" s="3"/>
    </row>
    <row r="71" spans="1:30" ht="15.75" thickBot="1" x14ac:dyDescent="0.3">
      <c r="A71" s="481" t="s">
        <v>315</v>
      </c>
      <c r="B71" s="481"/>
      <c r="C71" s="482"/>
      <c r="D71" s="481"/>
      <c r="E71" s="483"/>
      <c r="F71" s="481">
        <v>3400</v>
      </c>
      <c r="G71" s="484">
        <f>F71/1700</f>
        <v>2</v>
      </c>
      <c r="H71" s="485"/>
      <c r="I71" s="486"/>
      <c r="J71" s="487"/>
      <c r="K71" s="487"/>
      <c r="L71" s="488"/>
      <c r="M71" s="488"/>
      <c r="N71" s="488"/>
      <c r="O71" s="488"/>
      <c r="P71" s="488"/>
      <c r="Q71" s="489">
        <v>19546</v>
      </c>
      <c r="R71" s="489">
        <f>G71*Q71</f>
        <v>39092</v>
      </c>
      <c r="S71" s="489">
        <f>R71*B12</f>
        <v>12743.992</v>
      </c>
      <c r="T71" s="490">
        <f>R71+S71</f>
        <v>51835.991999999998</v>
      </c>
      <c r="U71" s="491"/>
      <c r="V71" s="492">
        <f>T71</f>
        <v>51835.991999999998</v>
      </c>
      <c r="W71" s="492"/>
      <c r="Y71" s="160">
        <v>51835.991999999998</v>
      </c>
      <c r="AA71" s="3"/>
      <c r="AB71" s="3"/>
      <c r="AC71" s="3"/>
      <c r="AD71" s="3"/>
    </row>
    <row r="72" spans="1:30" ht="28.5" customHeight="1" thickBot="1" x14ac:dyDescent="0.3">
      <c r="A72" s="225" t="s">
        <v>44</v>
      </c>
      <c r="B72" s="59"/>
      <c r="C72" s="59"/>
      <c r="D72" s="59"/>
      <c r="E72" s="60">
        <f>(E20+E25+E65)/5</f>
        <v>7.56</v>
      </c>
      <c r="F72" s="61">
        <f>SUM(F20:F71)</f>
        <v>225036.35599999997</v>
      </c>
      <c r="G72" s="62">
        <f>G20+G25+G29+G42+G58+G61+G62+G63+G64+G65+G66</f>
        <v>17.018376816405574</v>
      </c>
      <c r="H72" s="60"/>
      <c r="I72" s="60"/>
      <c r="J72" s="63"/>
      <c r="K72" s="63"/>
      <c r="L72" s="64">
        <f>SUM(L20:L65)</f>
        <v>0</v>
      </c>
      <c r="M72" s="64"/>
      <c r="N72" s="64"/>
      <c r="O72" s="64"/>
      <c r="P72" s="64"/>
      <c r="Q72" s="64">
        <f>SUM(Q20:Q65)</f>
        <v>354820.03677614371</v>
      </c>
      <c r="R72" s="64">
        <f>R29+R58+R70+R71</f>
        <v>1970613.1724089279</v>
      </c>
      <c r="S72" s="64">
        <f>SUM(S20:S71)</f>
        <v>683358.7527430664</v>
      </c>
      <c r="T72" s="65">
        <f>SUM(T20:T71)</f>
        <v>2653971.9251519945</v>
      </c>
      <c r="U72" s="66">
        <f>SUM(U20:U65)</f>
        <v>91880.261227513227</v>
      </c>
      <c r="V72" s="272">
        <f>V20+V29+V58+V70</f>
        <v>2942708.8792270287</v>
      </c>
      <c r="W72" s="632">
        <f>V71+V70+V58+W29+W20</f>
        <v>2923723.9857327682</v>
      </c>
      <c r="X72" s="20"/>
      <c r="Y72" s="577">
        <f>SUM(Y21:Y71)</f>
        <v>2653971.9251519945</v>
      </c>
      <c r="Z72" s="571"/>
      <c r="AA72" s="67"/>
      <c r="AB72" s="67"/>
      <c r="AC72" s="67"/>
      <c r="AD72" s="67"/>
    </row>
    <row r="73" spans="1:30" s="2" customFormat="1" ht="12.6" customHeight="1" thickBot="1" x14ac:dyDescent="0.3">
      <c r="A73" s="226"/>
      <c r="B73" s="68"/>
      <c r="C73" s="68"/>
      <c r="D73" s="68"/>
      <c r="E73" s="69"/>
      <c r="F73" s="70"/>
      <c r="G73" s="71"/>
      <c r="H73" s="69"/>
      <c r="I73" s="69"/>
      <c r="J73" s="72"/>
      <c r="K73" s="72"/>
      <c r="L73" s="73"/>
      <c r="M73" s="73"/>
      <c r="N73" s="73"/>
      <c r="O73" s="73"/>
      <c r="P73" s="73"/>
      <c r="Q73" s="73"/>
      <c r="R73" s="73"/>
      <c r="S73" s="73"/>
      <c r="T73" s="74"/>
      <c r="U73" s="75"/>
      <c r="V73" s="248"/>
      <c r="W73" s="90"/>
      <c r="Y73" s="578"/>
      <c r="AA73" s="5"/>
      <c r="AB73" s="5"/>
      <c r="AC73" s="5"/>
      <c r="AD73" s="5"/>
    </row>
    <row r="74" spans="1:30" ht="30" customHeight="1" thickTop="1" thickBot="1" x14ac:dyDescent="0.3">
      <c r="A74" s="222" t="s">
        <v>45</v>
      </c>
      <c r="B74" s="59"/>
      <c r="C74" s="59"/>
      <c r="D74" s="59"/>
      <c r="E74" s="60"/>
      <c r="F74" s="76"/>
      <c r="G74" s="62"/>
      <c r="H74" s="60"/>
      <c r="I74" s="60"/>
      <c r="J74" s="63"/>
      <c r="K74" s="334"/>
      <c r="L74" s="332"/>
      <c r="M74" s="332"/>
      <c r="N74" s="332"/>
      <c r="O74" s="332"/>
      <c r="P74" s="332"/>
      <c r="Q74" s="332"/>
      <c r="R74" s="332"/>
      <c r="S74" s="332"/>
      <c r="T74" s="335"/>
      <c r="U74" s="66"/>
      <c r="V74" s="77" t="s">
        <v>46</v>
      </c>
      <c r="W74" s="633"/>
      <c r="Y74" s="577"/>
      <c r="Z74" s="571"/>
      <c r="AA74" s="67"/>
      <c r="AB74" s="67"/>
      <c r="AC74" s="67"/>
      <c r="AD74" s="67"/>
    </row>
    <row r="75" spans="1:30" ht="14.45" customHeight="1" x14ac:dyDescent="0.25">
      <c r="A75" s="227" t="s">
        <v>17</v>
      </c>
      <c r="B75" s="79">
        <v>5.2299999999999999E-2</v>
      </c>
      <c r="C75" s="7"/>
      <c r="D75" s="78"/>
      <c r="E75" s="78"/>
      <c r="F75" s="78"/>
      <c r="G75" s="78"/>
      <c r="H75" s="78"/>
      <c r="I75" s="78"/>
      <c r="J75" s="338"/>
      <c r="K75" s="78"/>
      <c r="L75" s="80">
        <f>T72</f>
        <v>2653971.9251519945</v>
      </c>
      <c r="M75" s="80"/>
      <c r="N75" s="80"/>
      <c r="O75" s="80"/>
      <c r="P75" s="80"/>
      <c r="Q75" s="330">
        <f>V72</f>
        <v>2942708.8792270287</v>
      </c>
      <c r="R75" s="80">
        <f>R72*B75</f>
        <v>103063.06891698693</v>
      </c>
      <c r="S75" s="160">
        <f>R75*B12</f>
        <v>33598.560466937743</v>
      </c>
      <c r="T75" s="80">
        <f>R75+S75</f>
        <v>136661.62938392468</v>
      </c>
      <c r="U75" s="339">
        <f>B75*V72</f>
        <v>153903.67438357361</v>
      </c>
      <c r="V75" s="81">
        <f>T75</f>
        <v>136661.62938392468</v>
      </c>
      <c r="W75" s="106"/>
      <c r="X75" s="17"/>
      <c r="Y75" s="81"/>
      <c r="AA75" s="3"/>
      <c r="AB75" s="3"/>
      <c r="AC75" s="3"/>
      <c r="AD75" s="3"/>
    </row>
    <row r="76" spans="1:30" x14ac:dyDescent="0.25">
      <c r="A76" s="227" t="s">
        <v>18</v>
      </c>
      <c r="B76" s="79">
        <v>2.4400000000000002E-2</v>
      </c>
      <c r="C76" s="7"/>
      <c r="D76" s="78"/>
      <c r="E76" s="78"/>
      <c r="F76" s="78"/>
      <c r="G76" s="78"/>
      <c r="H76" s="78"/>
      <c r="I76" s="78"/>
      <c r="J76" s="338"/>
      <c r="K76" s="78"/>
      <c r="L76" s="80">
        <f>R72</f>
        <v>1970613.1724089279</v>
      </c>
      <c r="M76" s="80"/>
      <c r="N76" s="80"/>
      <c r="O76" s="80"/>
      <c r="P76" s="80"/>
      <c r="Q76" s="331">
        <f>V72</f>
        <v>2942708.8792270287</v>
      </c>
      <c r="R76" s="80">
        <f>L76*B76</f>
        <v>48082.961406777846</v>
      </c>
      <c r="S76" s="381"/>
      <c r="T76" s="80">
        <f>R76</f>
        <v>48082.961406777846</v>
      </c>
      <c r="U76" s="339">
        <f>Q76*B76</f>
        <v>71802.09665313951</v>
      </c>
      <c r="V76" s="81">
        <f>T76</f>
        <v>48082.961406777846</v>
      </c>
      <c r="W76" s="106"/>
      <c r="X76" s="82">
        <v>5105.0404010595685</v>
      </c>
      <c r="Y76" s="81"/>
      <c r="AA76" s="3"/>
      <c r="AB76" s="3"/>
      <c r="AC76" s="3"/>
      <c r="AD76" s="3"/>
    </row>
    <row r="77" spans="1:30" ht="15.75" thickBot="1" x14ac:dyDescent="0.3">
      <c r="A77" s="227" t="s">
        <v>407</v>
      </c>
      <c r="B77" s="79">
        <v>9.4399999999999998E-2</v>
      </c>
      <c r="C77" s="7"/>
      <c r="D77" s="78"/>
      <c r="E77" s="84"/>
      <c r="F77" s="78"/>
      <c r="G77" s="78"/>
      <c r="H77" s="78"/>
      <c r="I77" s="78"/>
      <c r="J77" s="338"/>
      <c r="K77" s="78"/>
      <c r="L77" s="80">
        <f>R72</f>
        <v>1970613.1724089279</v>
      </c>
      <c r="M77" s="80"/>
      <c r="N77" s="80"/>
      <c r="O77" s="80"/>
      <c r="P77" s="80"/>
      <c r="Q77" s="331">
        <f>V72</f>
        <v>2942708.8792270287</v>
      </c>
      <c r="R77" s="80">
        <f>R72*B77</f>
        <v>186025.88347540281</v>
      </c>
      <c r="S77" s="160">
        <f>R77*B12</f>
        <v>60644.438012981314</v>
      </c>
      <c r="T77" s="80">
        <f>R77+S77</f>
        <v>246670.32148838413</v>
      </c>
      <c r="U77" s="339">
        <f>Q77*B77</f>
        <v>277791.71819903149</v>
      </c>
      <c r="V77" s="81">
        <f>T77</f>
        <v>246670.32148838413</v>
      </c>
      <c r="W77" s="106"/>
      <c r="X77" s="82">
        <v>10461.148362826985</v>
      </c>
      <c r="Y77" s="81"/>
      <c r="AA77" s="3"/>
      <c r="AB77" s="3"/>
      <c r="AC77" s="3"/>
      <c r="AD77" s="3"/>
    </row>
    <row r="78" spans="1:30" ht="24" customHeight="1" thickTop="1" thickBot="1" x14ac:dyDescent="0.3">
      <c r="A78" s="225" t="s">
        <v>47</v>
      </c>
      <c r="B78" s="86">
        <f>AVERAGE(B75:B77)</f>
        <v>5.7033333333333332E-2</v>
      </c>
      <c r="C78" s="59"/>
      <c r="D78" s="59"/>
      <c r="E78" s="60"/>
      <c r="F78" s="76"/>
      <c r="G78" s="62"/>
      <c r="H78" s="60"/>
      <c r="I78" s="60"/>
      <c r="J78" s="63"/>
      <c r="K78" s="336"/>
      <c r="L78" s="333">
        <f>SUM(L75:L77)</f>
        <v>6595198.2699698508</v>
      </c>
      <c r="M78" s="333"/>
      <c r="N78" s="333"/>
      <c r="O78" s="333"/>
      <c r="P78" s="333"/>
      <c r="Q78" s="333">
        <f>SUM(Q75:Q77)</f>
        <v>8828126.6376810856</v>
      </c>
      <c r="R78" s="333"/>
      <c r="S78" s="333">
        <f>SUM(T75:T77)</f>
        <v>431414.91227908665</v>
      </c>
      <c r="T78" s="337">
        <f>SUM(T75:T77)</f>
        <v>431414.91227908665</v>
      </c>
      <c r="U78" s="66">
        <f>SUM(U75:U77)</f>
        <v>503497.48923574458</v>
      </c>
      <c r="V78" s="77">
        <f>SUM(V75:V77)</f>
        <v>431414.91227908665</v>
      </c>
      <c r="W78" s="633"/>
      <c r="Y78" s="579"/>
      <c r="Z78" s="572"/>
      <c r="AA78" s="88"/>
      <c r="AB78" s="88"/>
      <c r="AC78" s="88"/>
      <c r="AD78" s="88"/>
    </row>
    <row r="79" spans="1:30" ht="14.45" customHeight="1" thickBot="1" x14ac:dyDescent="0.3">
      <c r="A79" s="467"/>
      <c r="B79" s="468"/>
      <c r="C79" s="89"/>
      <c r="D79" s="89"/>
      <c r="E79" s="469"/>
      <c r="F79" s="470"/>
      <c r="G79" s="469"/>
      <c r="H79" s="469"/>
      <c r="I79" s="469"/>
      <c r="J79" s="471"/>
      <c r="K79" s="472"/>
      <c r="L79" s="473"/>
      <c r="M79" s="473"/>
      <c r="N79" s="473"/>
      <c r="O79" s="473"/>
      <c r="P79" s="473"/>
      <c r="Q79" s="473"/>
      <c r="R79" s="473"/>
      <c r="S79" s="473"/>
      <c r="T79" s="473"/>
      <c r="U79" s="75"/>
      <c r="V79" s="90"/>
      <c r="W79" s="90"/>
      <c r="Y79" s="579"/>
      <c r="Z79" s="572"/>
      <c r="AA79" s="88"/>
      <c r="AB79" s="88"/>
      <c r="AC79" s="88"/>
      <c r="AD79" s="88"/>
    </row>
    <row r="80" spans="1:30" ht="30" customHeight="1" thickTop="1" x14ac:dyDescent="0.25">
      <c r="A80" s="347" t="s">
        <v>48</v>
      </c>
      <c r="B80" s="348"/>
      <c r="C80" s="349"/>
      <c r="D80" s="350"/>
      <c r="E80" s="350" t="s">
        <v>312</v>
      </c>
      <c r="F80" s="350" t="s">
        <v>238</v>
      </c>
      <c r="G80" s="351" t="s">
        <v>49</v>
      </c>
      <c r="H80" s="351" t="s">
        <v>313</v>
      </c>
      <c r="I80" s="351"/>
      <c r="J80" s="350"/>
      <c r="K80" s="350"/>
      <c r="L80" s="350"/>
      <c r="M80" s="350"/>
      <c r="N80" s="350"/>
      <c r="O80" s="350"/>
      <c r="P80" s="350"/>
      <c r="Q80" s="350"/>
      <c r="R80" s="350"/>
      <c r="S80" s="350"/>
      <c r="T80" s="350"/>
      <c r="U80" s="350"/>
      <c r="V80" s="352" t="s">
        <v>50</v>
      </c>
      <c r="W80" s="626"/>
      <c r="Y80" s="7"/>
      <c r="AA80" s="3"/>
      <c r="AB80" s="3"/>
      <c r="AC80" s="3"/>
      <c r="AD80" s="3"/>
    </row>
    <row r="81" spans="1:30" s="2" customFormat="1" ht="30" customHeight="1" x14ac:dyDescent="0.25">
      <c r="A81" s="360" t="s">
        <v>311</v>
      </c>
      <c r="B81" s="358"/>
      <c r="C81" s="358"/>
      <c r="D81" s="358"/>
      <c r="E81" s="267">
        <v>8</v>
      </c>
      <c r="F81" s="267">
        <v>250</v>
      </c>
      <c r="G81" s="267">
        <v>23.25</v>
      </c>
      <c r="H81" s="267">
        <f>E81*G81</f>
        <v>186</v>
      </c>
      <c r="I81" s="359"/>
      <c r="J81" s="358"/>
      <c r="K81" s="358"/>
      <c r="L81" s="358"/>
      <c r="M81" s="358"/>
      <c r="N81" s="358"/>
      <c r="O81" s="358"/>
      <c r="P81" s="358"/>
      <c r="Q81" s="358"/>
      <c r="R81" s="358"/>
      <c r="S81" s="358"/>
      <c r="T81" s="358"/>
      <c r="U81" s="358"/>
      <c r="V81" s="116">
        <f>F81*H81</f>
        <v>46500</v>
      </c>
      <c r="W81" s="99"/>
      <c r="Y81" s="4"/>
      <c r="AA81" s="5"/>
      <c r="AB81" s="5"/>
      <c r="AC81" s="5"/>
      <c r="AD81" s="5"/>
    </row>
    <row r="82" spans="1:30" s="2" customFormat="1" ht="21.95" customHeight="1" x14ac:dyDescent="0.25">
      <c r="A82" s="360" t="s">
        <v>132</v>
      </c>
      <c r="B82" s="254"/>
      <c r="C82" s="254"/>
      <c r="D82" s="254"/>
      <c r="E82" s="278">
        <v>1</v>
      </c>
      <c r="F82" s="278">
        <v>800</v>
      </c>
      <c r="G82" s="361">
        <v>39</v>
      </c>
      <c r="H82" s="361">
        <f>G82</f>
        <v>39</v>
      </c>
      <c r="I82" s="279"/>
      <c r="J82" s="254"/>
      <c r="K82" s="254"/>
      <c r="L82" s="280"/>
      <c r="M82" s="280"/>
      <c r="N82" s="280"/>
      <c r="O82" s="280"/>
      <c r="P82" s="280"/>
      <c r="Q82" s="280"/>
      <c r="R82" s="280"/>
      <c r="S82" s="280"/>
      <c r="T82" s="362"/>
      <c r="U82" s="281">
        <f>F82*G82</f>
        <v>31200</v>
      </c>
      <c r="V82" s="116">
        <f>H82*F82</f>
        <v>31200</v>
      </c>
      <c r="W82" s="99"/>
      <c r="Y82" s="4"/>
      <c r="AA82" s="5"/>
      <c r="AB82" s="5"/>
      <c r="AC82" s="95">
        <f>V82</f>
        <v>31200</v>
      </c>
      <c r="AD82" s="96"/>
    </row>
    <row r="83" spans="1:30" s="2" customFormat="1" ht="21.95" customHeight="1" thickBot="1" x14ac:dyDescent="0.3">
      <c r="A83" s="277" t="s">
        <v>133</v>
      </c>
      <c r="B83" s="93"/>
      <c r="C83" s="93"/>
      <c r="D83" s="93"/>
      <c r="E83" s="94">
        <v>600</v>
      </c>
      <c r="F83" s="94">
        <v>400</v>
      </c>
      <c r="G83" s="255">
        <v>9.5000000000000001E-2</v>
      </c>
      <c r="H83" s="255">
        <f>F83*G83</f>
        <v>38</v>
      </c>
      <c r="I83" s="353"/>
      <c r="J83" s="93"/>
      <c r="K83" s="93"/>
      <c r="L83" s="354"/>
      <c r="M83" s="354"/>
      <c r="N83" s="354"/>
      <c r="O83" s="354"/>
      <c r="P83" s="354"/>
      <c r="Q83" s="354"/>
      <c r="R83" s="354"/>
      <c r="S83" s="354"/>
      <c r="T83" s="355"/>
      <c r="U83" s="356"/>
      <c r="V83" s="357">
        <f>H83*E83</f>
        <v>22800</v>
      </c>
      <c r="W83" s="99"/>
      <c r="Y83" s="4"/>
      <c r="Z83" s="2">
        <v>551.52</v>
      </c>
      <c r="AA83" s="5"/>
      <c r="AB83" s="5"/>
      <c r="AC83" s="95">
        <f>V83</f>
        <v>22800</v>
      </c>
      <c r="AD83" s="96"/>
    </row>
    <row r="84" spans="1:30" ht="24" customHeight="1" thickTop="1" thickBot="1" x14ac:dyDescent="0.3">
      <c r="A84" s="225" t="s">
        <v>51</v>
      </c>
      <c r="B84" s="274"/>
      <c r="C84" s="59"/>
      <c r="D84" s="59"/>
      <c r="E84" s="60"/>
      <c r="F84" s="76"/>
      <c r="G84" s="62"/>
      <c r="H84" s="60"/>
      <c r="I84" s="60"/>
      <c r="J84" s="63"/>
      <c r="K84" s="63"/>
      <c r="L84" s="64"/>
      <c r="M84" s="64"/>
      <c r="N84" s="64"/>
      <c r="O84" s="64"/>
      <c r="P84" s="64"/>
      <c r="Q84" s="64"/>
      <c r="R84" s="64"/>
      <c r="S84" s="64"/>
      <c r="T84" s="65"/>
      <c r="U84" s="275">
        <f>U82</f>
        <v>31200</v>
      </c>
      <c r="V84" s="493">
        <f>V81+V82+V83</f>
        <v>100500</v>
      </c>
      <c r="W84" s="633"/>
      <c r="Y84" s="580"/>
      <c r="Z84" s="573"/>
      <c r="AA84" s="100"/>
      <c r="AB84" s="100"/>
      <c r="AC84" s="101">
        <f>SUM(AC82:AC83)</f>
        <v>54000</v>
      </c>
      <c r="AD84" s="87"/>
    </row>
    <row r="85" spans="1:30" s="2" customFormat="1" ht="16.5" customHeight="1" thickBot="1" x14ac:dyDescent="0.3">
      <c r="A85" s="273"/>
      <c r="B85" s="249"/>
      <c r="C85" s="249"/>
      <c r="D85" s="249"/>
      <c r="E85" s="250"/>
      <c r="F85" s="251"/>
      <c r="G85" s="252"/>
      <c r="H85" s="252"/>
      <c r="I85" s="249"/>
      <c r="J85" s="249"/>
      <c r="K85" s="249"/>
      <c r="L85" s="249"/>
      <c r="M85" s="249"/>
      <c r="N85" s="249"/>
      <c r="O85" s="249"/>
      <c r="P85" s="249"/>
      <c r="Q85" s="249"/>
      <c r="R85" s="249"/>
      <c r="S85" s="249"/>
      <c r="T85" s="249"/>
      <c r="U85" s="253"/>
      <c r="V85" s="495"/>
      <c r="W85" s="634"/>
      <c r="Y85" s="4"/>
      <c r="AA85" s="5"/>
      <c r="AB85" s="5"/>
      <c r="AC85" s="5"/>
      <c r="AD85" s="5"/>
    </row>
    <row r="86" spans="1:30" ht="30" customHeight="1" thickBot="1" x14ac:dyDescent="0.3">
      <c r="A86" s="228" t="s">
        <v>52</v>
      </c>
      <c r="B86" s="102"/>
      <c r="C86" s="103"/>
      <c r="D86" s="103"/>
      <c r="E86" s="103"/>
      <c r="F86" s="103"/>
      <c r="G86" s="103"/>
      <c r="H86" s="103"/>
      <c r="I86" s="103"/>
      <c r="J86" s="103"/>
      <c r="K86" s="103"/>
      <c r="L86" s="104"/>
      <c r="M86" s="104"/>
      <c r="N86" s="104"/>
      <c r="O86" s="104"/>
      <c r="P86" s="104"/>
      <c r="Q86" s="104"/>
      <c r="R86" s="104"/>
      <c r="S86" s="104"/>
      <c r="T86" s="104"/>
      <c r="U86" s="105" t="e">
        <f>#REF!+V84</f>
        <v>#REF!</v>
      </c>
      <c r="V86" s="494">
        <f>V20+V29+V58+V70+V78+V84</f>
        <v>3474623.7915061153</v>
      </c>
      <c r="W86" s="635"/>
      <c r="X86" s="106">
        <f>V84+V78+V72</f>
        <v>3474623.7915061153</v>
      </c>
      <c r="Y86" s="581"/>
      <c r="Z86" s="574"/>
      <c r="AA86" s="92"/>
      <c r="AB86" s="92"/>
      <c r="AC86" s="107" t="e">
        <f>AC84+#REF!</f>
        <v>#REF!</v>
      </c>
      <c r="AD86" s="91"/>
    </row>
    <row r="87" spans="1:30" s="2" customFormat="1" ht="12.6" customHeight="1" x14ac:dyDescent="0.25">
      <c r="A87" s="229"/>
      <c r="B87" s="97"/>
      <c r="C87" s="97"/>
      <c r="D87" s="97"/>
      <c r="E87" s="97"/>
      <c r="F87" s="97"/>
      <c r="G87" s="97"/>
      <c r="H87" s="97"/>
      <c r="I87" s="97"/>
      <c r="J87" s="97"/>
      <c r="K87" s="97"/>
      <c r="L87" s="98"/>
      <c r="M87" s="98"/>
      <c r="N87" s="98"/>
      <c r="O87" s="98"/>
      <c r="P87" s="98"/>
      <c r="Q87" s="98"/>
      <c r="R87" s="98"/>
      <c r="S87" s="98"/>
      <c r="T87" s="98"/>
      <c r="U87" s="108"/>
      <c r="V87" s="109"/>
      <c r="W87" s="109"/>
      <c r="X87" s="110"/>
      <c r="Y87" s="8"/>
      <c r="AD87" s="110"/>
    </row>
    <row r="88" spans="1:30" ht="30" customHeight="1" x14ac:dyDescent="0.25">
      <c r="A88" s="230" t="s">
        <v>53</v>
      </c>
      <c r="B88" s="112"/>
      <c r="C88" s="112"/>
      <c r="D88" s="266" t="s">
        <v>237</v>
      </c>
      <c r="E88" s="266" t="s">
        <v>238</v>
      </c>
      <c r="F88" s="266" t="s">
        <v>239</v>
      </c>
      <c r="G88" s="266" t="s">
        <v>244</v>
      </c>
      <c r="H88" s="266"/>
      <c r="I88" s="112"/>
      <c r="J88" s="112"/>
      <c r="K88" s="112"/>
      <c r="L88" s="112"/>
      <c r="M88" s="112"/>
      <c r="N88" s="112"/>
      <c r="O88" s="112"/>
      <c r="P88" s="112"/>
      <c r="Q88" s="112"/>
      <c r="R88" s="112"/>
      <c r="S88" s="112"/>
      <c r="T88" s="112"/>
      <c r="U88" s="113"/>
      <c r="V88" s="114" t="s">
        <v>54</v>
      </c>
      <c r="W88" s="636"/>
      <c r="Y88" s="112"/>
      <c r="Z88" s="115"/>
      <c r="AA88" s="115"/>
      <c r="AB88" s="115"/>
      <c r="AC88" s="115"/>
      <c r="AD88" s="115"/>
    </row>
    <row r="89" spans="1:30" ht="14.45" customHeight="1" x14ac:dyDescent="0.25">
      <c r="A89" s="360" t="s">
        <v>401</v>
      </c>
      <c r="B89" s="474"/>
      <c r="C89" s="254"/>
      <c r="D89" s="254"/>
      <c r="E89" s="545">
        <v>4199</v>
      </c>
      <c r="F89" s="479"/>
      <c r="G89" s="546">
        <v>22.17</v>
      </c>
      <c r="H89" s="478"/>
      <c r="I89" s="478"/>
      <c r="J89" s="480"/>
      <c r="K89" s="475"/>
      <c r="L89" s="476"/>
      <c r="M89" s="476"/>
      <c r="N89" s="476"/>
      <c r="O89" s="476"/>
      <c r="P89" s="476"/>
      <c r="Q89" s="476"/>
      <c r="R89" s="476"/>
      <c r="S89" s="476"/>
      <c r="T89" s="476"/>
      <c r="U89" s="477"/>
      <c r="V89" s="8">
        <f>E89*G89</f>
        <v>93091.83</v>
      </c>
      <c r="W89" s="110"/>
      <c r="Y89" s="579"/>
      <c r="Z89" s="572"/>
      <c r="AA89" s="88"/>
      <c r="AB89" s="88"/>
      <c r="AC89" s="88"/>
      <c r="AD89" s="88"/>
    </row>
    <row r="90" spans="1:30" s="19" customFormat="1" ht="14.45" customHeight="1" x14ac:dyDescent="0.25">
      <c r="A90" s="597" t="s">
        <v>402</v>
      </c>
      <c r="B90" s="598"/>
      <c r="C90" s="599"/>
      <c r="D90" s="599"/>
      <c r="E90" s="600">
        <v>24</v>
      </c>
      <c r="F90" s="601">
        <v>12</v>
      </c>
      <c r="G90" s="602">
        <v>50</v>
      </c>
      <c r="H90" s="600"/>
      <c r="I90" s="600"/>
      <c r="J90" s="603"/>
      <c r="K90" s="603"/>
      <c r="L90" s="604"/>
      <c r="M90" s="604"/>
      <c r="N90" s="604"/>
      <c r="O90" s="604"/>
      <c r="P90" s="604"/>
      <c r="Q90" s="604"/>
      <c r="R90" s="604"/>
      <c r="S90" s="604"/>
      <c r="T90" s="604"/>
      <c r="U90" s="605"/>
      <c r="V90" s="606">
        <f>E90*G90</f>
        <v>1200</v>
      </c>
      <c r="W90" s="637"/>
      <c r="Y90" s="607"/>
      <c r="AA90" s="608"/>
      <c r="AB90" s="608"/>
      <c r="AC90" s="608"/>
      <c r="AD90" s="608"/>
    </row>
    <row r="91" spans="1:30" ht="14.45" customHeight="1" x14ac:dyDescent="0.25">
      <c r="A91" s="360" t="s">
        <v>343</v>
      </c>
      <c r="B91" s="474"/>
      <c r="C91" s="254"/>
      <c r="D91" s="254"/>
      <c r="E91" s="478">
        <v>24</v>
      </c>
      <c r="F91" s="479"/>
      <c r="G91" s="546">
        <v>30</v>
      </c>
      <c r="H91" s="478"/>
      <c r="I91" s="478"/>
      <c r="J91" s="480"/>
      <c r="K91" s="475"/>
      <c r="L91" s="476"/>
      <c r="M91" s="476"/>
      <c r="N91" s="476"/>
      <c r="O91" s="476"/>
      <c r="P91" s="476"/>
      <c r="Q91" s="476"/>
      <c r="R91" s="476"/>
      <c r="S91" s="476"/>
      <c r="T91" s="476"/>
      <c r="U91" s="477"/>
      <c r="V91" s="548">
        <f>G91*E91</f>
        <v>720</v>
      </c>
      <c r="W91" s="264"/>
      <c r="Y91" s="579"/>
      <c r="Z91" s="572"/>
      <c r="AA91" s="88"/>
      <c r="AB91" s="88"/>
      <c r="AC91" s="88"/>
      <c r="AD91" s="88"/>
    </row>
    <row r="92" spans="1:30" s="2" customFormat="1" x14ac:dyDescent="0.25">
      <c r="A92" s="231" t="s">
        <v>134</v>
      </c>
      <c r="B92" s="4"/>
      <c r="C92" s="4"/>
      <c r="D92" s="4">
        <v>1</v>
      </c>
      <c r="E92" s="4"/>
      <c r="F92" s="118">
        <v>12</v>
      </c>
      <c r="G92" s="547">
        <v>522</v>
      </c>
      <c r="H92" s="116"/>
      <c r="I92" s="116"/>
      <c r="J92" s="4"/>
      <c r="K92" s="4"/>
      <c r="L92" s="4"/>
      <c r="M92" s="4"/>
      <c r="N92" s="4"/>
      <c r="O92" s="4"/>
      <c r="P92" s="4"/>
      <c r="Q92" s="4"/>
      <c r="R92" s="4"/>
      <c r="S92" s="4"/>
      <c r="T92" s="4"/>
      <c r="U92" s="117">
        <f>F92*G92</f>
        <v>6264</v>
      </c>
      <c r="V92" s="8">
        <f>F92*G92</f>
        <v>6264</v>
      </c>
      <c r="W92" s="110"/>
      <c r="Y92" s="4"/>
      <c r="Z92" s="575">
        <v>4944</v>
      </c>
      <c r="AA92" s="5"/>
      <c r="AB92" s="5"/>
      <c r="AC92" s="5"/>
      <c r="AD92" s="5"/>
    </row>
    <row r="93" spans="1:30" s="2" customFormat="1" x14ac:dyDescent="0.25">
      <c r="A93" s="231" t="s">
        <v>135</v>
      </c>
      <c r="B93" s="4"/>
      <c r="C93" s="4"/>
      <c r="D93" s="4">
        <v>1</v>
      </c>
      <c r="E93" s="4"/>
      <c r="F93" s="118">
        <v>12</v>
      </c>
      <c r="G93" s="116">
        <v>495</v>
      </c>
      <c r="H93" s="116"/>
      <c r="I93" s="116"/>
      <c r="J93" s="4"/>
      <c r="K93" s="4"/>
      <c r="L93" s="4"/>
      <c r="M93" s="4"/>
      <c r="N93" s="4"/>
      <c r="O93" s="4"/>
      <c r="P93" s="4"/>
      <c r="Q93" s="4"/>
      <c r="R93" s="4"/>
      <c r="S93" s="4"/>
      <c r="T93" s="4"/>
      <c r="U93" s="117"/>
      <c r="V93" s="8">
        <f>F93*G93</f>
        <v>5940</v>
      </c>
      <c r="W93" s="110"/>
      <c r="Y93" s="4"/>
      <c r="Z93" s="575">
        <v>5643.84</v>
      </c>
      <c r="AA93" s="5"/>
      <c r="AB93" s="5"/>
      <c r="AC93" s="5"/>
      <c r="AD93" s="5"/>
    </row>
    <row r="94" spans="1:30" s="2" customFormat="1" x14ac:dyDescent="0.25">
      <c r="A94" s="231" t="s">
        <v>316</v>
      </c>
      <c r="B94" s="4"/>
      <c r="C94" s="4"/>
      <c r="D94" s="267">
        <v>2</v>
      </c>
      <c r="E94" s="267" t="s">
        <v>240</v>
      </c>
      <c r="F94" s="118">
        <v>52</v>
      </c>
      <c r="G94" s="259">
        <v>11.5</v>
      </c>
      <c r="H94" s="259"/>
      <c r="I94" s="116"/>
      <c r="J94" s="4"/>
      <c r="K94" s="4"/>
      <c r="L94" s="4"/>
      <c r="M94" s="4"/>
      <c r="N94" s="4"/>
      <c r="O94" s="4"/>
      <c r="P94" s="4"/>
      <c r="Q94" s="4"/>
      <c r="R94" s="4"/>
      <c r="S94" s="4"/>
      <c r="T94" s="4"/>
      <c r="U94" s="117"/>
      <c r="V94" s="116">
        <f>F94*D94*G94</f>
        <v>1196</v>
      </c>
      <c r="W94" s="99"/>
      <c r="Y94" s="4"/>
      <c r="Z94" s="575">
        <v>276</v>
      </c>
      <c r="AA94" s="5"/>
      <c r="AB94" s="5"/>
      <c r="AC94" s="5"/>
      <c r="AD94" s="5"/>
    </row>
    <row r="95" spans="1:30" s="2" customFormat="1" x14ac:dyDescent="0.25">
      <c r="A95" s="231" t="s">
        <v>204</v>
      </c>
      <c r="B95" s="4"/>
      <c r="C95" s="4"/>
      <c r="D95" s="267">
        <v>2</v>
      </c>
      <c r="E95" s="267" t="s">
        <v>240</v>
      </c>
      <c r="F95" s="118">
        <v>4</v>
      </c>
      <c r="G95" s="116">
        <v>145.19999999999999</v>
      </c>
      <c r="H95" s="116"/>
      <c r="I95" s="116"/>
      <c r="J95" s="4"/>
      <c r="K95" s="4"/>
      <c r="L95" s="4"/>
      <c r="M95" s="4"/>
      <c r="N95" s="4"/>
      <c r="O95" s="4"/>
      <c r="P95" s="4"/>
      <c r="Q95" s="4"/>
      <c r="R95" s="4"/>
      <c r="S95" s="4"/>
      <c r="T95" s="4"/>
      <c r="U95" s="117"/>
      <c r="V95" s="116">
        <f>D95*F95*G95</f>
        <v>1161.5999999999999</v>
      </c>
      <c r="W95" s="99"/>
      <c r="Y95" s="4"/>
      <c r="Z95" s="575">
        <v>1161.5999999999999</v>
      </c>
      <c r="AA95" s="5"/>
      <c r="AB95" s="5"/>
      <c r="AC95" s="5"/>
      <c r="AD95" s="5"/>
    </row>
    <row r="96" spans="1:30" s="2" customFormat="1" x14ac:dyDescent="0.25">
      <c r="A96" s="231" t="s">
        <v>317</v>
      </c>
      <c r="B96" s="4"/>
      <c r="C96" s="4"/>
      <c r="D96" s="267">
        <v>2</v>
      </c>
      <c r="E96" s="267"/>
      <c r="F96" s="118"/>
      <c r="G96" s="116">
        <v>180</v>
      </c>
      <c r="H96" s="116"/>
      <c r="I96" s="116"/>
      <c r="J96" s="4"/>
      <c r="K96" s="4"/>
      <c r="L96" s="4"/>
      <c r="M96" s="4"/>
      <c r="N96" s="4"/>
      <c r="O96" s="4"/>
      <c r="P96" s="4"/>
      <c r="Q96" s="4"/>
      <c r="R96" s="4"/>
      <c r="S96" s="4"/>
      <c r="T96" s="4"/>
      <c r="U96" s="117"/>
      <c r="V96" s="116">
        <f>G96*D96</f>
        <v>360</v>
      </c>
      <c r="W96" s="99"/>
      <c r="Y96" s="4"/>
      <c r="Z96" s="575"/>
      <c r="AA96" s="5"/>
      <c r="AB96" s="5"/>
      <c r="AC96" s="5"/>
      <c r="AD96" s="5"/>
    </row>
    <row r="97" spans="1:32" s="2" customFormat="1" x14ac:dyDescent="0.25">
      <c r="A97" s="231" t="s">
        <v>234</v>
      </c>
      <c r="B97" s="4"/>
      <c r="C97" s="4"/>
      <c r="D97" s="267">
        <v>835</v>
      </c>
      <c r="E97" s="267" t="s">
        <v>241</v>
      </c>
      <c r="F97" s="118"/>
      <c r="G97" s="116">
        <v>1.94</v>
      </c>
      <c r="H97" s="116"/>
      <c r="I97" s="116"/>
      <c r="J97" s="4"/>
      <c r="K97" s="4"/>
      <c r="L97" s="4"/>
      <c r="M97" s="4"/>
      <c r="N97" s="4"/>
      <c r="O97" s="4"/>
      <c r="P97" s="4"/>
      <c r="Q97" s="4"/>
      <c r="R97" s="4"/>
      <c r="S97" s="4"/>
      <c r="T97" s="4"/>
      <c r="U97" s="117"/>
      <c r="V97" s="116">
        <f>G97*D97</f>
        <v>1619.8999999999999</v>
      </c>
      <c r="W97" s="99"/>
      <c r="Y97" s="4"/>
      <c r="Z97" s="575">
        <v>1464.7</v>
      </c>
      <c r="AA97" s="5"/>
      <c r="AB97" s="5"/>
      <c r="AC97" s="5"/>
      <c r="AD97" s="5"/>
    </row>
    <row r="98" spans="1:32" s="2" customFormat="1" x14ac:dyDescent="0.25">
      <c r="A98" s="231" t="s">
        <v>157</v>
      </c>
      <c r="B98" s="4"/>
      <c r="C98" s="4"/>
      <c r="D98" s="267">
        <v>2</v>
      </c>
      <c r="E98" s="267"/>
      <c r="F98" s="118">
        <v>12</v>
      </c>
      <c r="G98" s="116">
        <v>167.5</v>
      </c>
      <c r="H98" s="116"/>
      <c r="I98" s="116"/>
      <c r="J98" s="4"/>
      <c r="K98" s="4"/>
      <c r="L98" s="4"/>
      <c r="M98" s="4"/>
      <c r="N98" s="4"/>
      <c r="O98" s="4"/>
      <c r="P98" s="4"/>
      <c r="Q98" s="4"/>
      <c r="R98" s="4"/>
      <c r="S98" s="4"/>
      <c r="T98" s="4"/>
      <c r="U98" s="117"/>
      <c r="V98" s="116">
        <f>D98*F98*G98</f>
        <v>4020</v>
      </c>
      <c r="W98" s="99"/>
      <c r="Y98" s="4"/>
      <c r="Z98" s="575">
        <v>3600</v>
      </c>
      <c r="AA98" s="5"/>
      <c r="AB98" s="5"/>
      <c r="AC98" s="5"/>
      <c r="AD98" s="5"/>
    </row>
    <row r="99" spans="1:32" s="2" customFormat="1" x14ac:dyDescent="0.25">
      <c r="A99" s="231" t="s">
        <v>158</v>
      </c>
      <c r="B99" s="4"/>
      <c r="C99" s="4"/>
      <c r="D99" s="267">
        <v>2</v>
      </c>
      <c r="E99" s="267"/>
      <c r="F99" s="118"/>
      <c r="G99" s="116">
        <v>189</v>
      </c>
      <c r="H99" s="116"/>
      <c r="I99" s="116"/>
      <c r="J99" s="4"/>
      <c r="K99" s="4"/>
      <c r="L99" s="4"/>
      <c r="M99" s="4"/>
      <c r="N99" s="4"/>
      <c r="O99" s="4"/>
      <c r="P99" s="4"/>
      <c r="Q99" s="4"/>
      <c r="R99" s="4"/>
      <c r="S99" s="4"/>
      <c r="T99" s="4"/>
      <c r="U99" s="117"/>
      <c r="V99" s="116">
        <f>D99*G99</f>
        <v>378</v>
      </c>
      <c r="W99" s="99"/>
      <c r="Y99" s="4"/>
      <c r="Z99" s="575">
        <v>378</v>
      </c>
      <c r="AA99" s="5"/>
      <c r="AB99" s="5"/>
      <c r="AC99" s="5"/>
      <c r="AD99" s="5"/>
    </row>
    <row r="100" spans="1:32" x14ac:dyDescent="0.25">
      <c r="A100" s="232" t="s">
        <v>55</v>
      </c>
      <c r="B100" s="7"/>
      <c r="C100" s="7"/>
      <c r="D100" s="119"/>
      <c r="E100" s="119">
        <v>55</v>
      </c>
      <c r="F100" s="119"/>
      <c r="G100" s="81">
        <v>300</v>
      </c>
      <c r="H100" s="81"/>
      <c r="I100" s="81"/>
      <c r="J100" s="81"/>
      <c r="K100" s="81"/>
      <c r="L100" s="7"/>
      <c r="M100" s="7"/>
      <c r="N100" s="7"/>
      <c r="O100" s="7"/>
      <c r="P100" s="7"/>
      <c r="Q100" s="7"/>
      <c r="R100" s="7"/>
      <c r="S100" s="7"/>
      <c r="T100" s="7"/>
      <c r="U100" s="120">
        <f xml:space="preserve"> (F100*G100)/4</f>
        <v>0</v>
      </c>
      <c r="V100" s="81">
        <f>(E100*G100)/4</f>
        <v>4125</v>
      </c>
      <c r="W100" s="106"/>
      <c r="Y100" s="7"/>
      <c r="Z100" s="106">
        <v>4125</v>
      </c>
      <c r="AA100" s="83"/>
      <c r="AB100" s="83"/>
      <c r="AC100" s="83"/>
      <c r="AD100" s="3"/>
    </row>
    <row r="101" spans="1:32" x14ac:dyDescent="0.25">
      <c r="A101" s="232" t="s">
        <v>137</v>
      </c>
      <c r="B101" s="7"/>
      <c r="C101" s="7"/>
      <c r="D101" s="119"/>
      <c r="E101" s="119">
        <v>55</v>
      </c>
      <c r="F101" s="119">
        <v>12</v>
      </c>
      <c r="G101" s="81">
        <v>29</v>
      </c>
      <c r="H101" s="81"/>
      <c r="I101" s="81"/>
      <c r="J101" s="81"/>
      <c r="K101" s="81"/>
      <c r="L101" s="7"/>
      <c r="M101" s="7"/>
      <c r="N101" s="7"/>
      <c r="O101" s="7"/>
      <c r="P101" s="7"/>
      <c r="Q101" s="7"/>
      <c r="R101" s="7"/>
      <c r="S101" s="7"/>
      <c r="T101" s="7"/>
      <c r="U101" s="120">
        <f>E101*F101*G101</f>
        <v>19140</v>
      </c>
      <c r="V101" s="81">
        <f>E101*F101*G101</f>
        <v>19140</v>
      </c>
      <c r="W101" s="106"/>
      <c r="Y101" s="7"/>
      <c r="Z101" s="106">
        <v>15840</v>
      </c>
      <c r="AA101" s="83"/>
      <c r="AB101" s="83"/>
      <c r="AC101" s="83"/>
      <c r="AD101" s="3"/>
    </row>
    <row r="102" spans="1:32" ht="15.75" thickBot="1" x14ac:dyDescent="0.3">
      <c r="A102" s="233" t="s">
        <v>56</v>
      </c>
      <c r="B102" s="37"/>
      <c r="C102" s="37"/>
      <c r="D102" s="121"/>
      <c r="E102" s="121"/>
      <c r="F102" s="121"/>
      <c r="G102" s="85">
        <v>300</v>
      </c>
      <c r="H102" s="85"/>
      <c r="I102" s="85"/>
      <c r="J102" s="85"/>
      <c r="K102" s="85"/>
      <c r="L102" s="37"/>
      <c r="M102" s="37"/>
      <c r="N102" s="37"/>
      <c r="O102" s="37"/>
      <c r="P102" s="37"/>
      <c r="Q102" s="37"/>
      <c r="R102" s="37"/>
      <c r="S102" s="37"/>
      <c r="T102" s="37"/>
      <c r="U102" s="120">
        <f>G102</f>
        <v>300</v>
      </c>
      <c r="V102" s="85">
        <f>G102</f>
        <v>300</v>
      </c>
      <c r="W102" s="106"/>
      <c r="Y102" s="7"/>
      <c r="Z102" s="106">
        <v>300</v>
      </c>
      <c r="AA102" s="83"/>
      <c r="AB102" s="83"/>
      <c r="AC102" s="83"/>
      <c r="AD102" s="3"/>
    </row>
    <row r="103" spans="1:32" ht="30" customHeight="1" thickBot="1" x14ac:dyDescent="0.3">
      <c r="A103" s="234" t="s">
        <v>57</v>
      </c>
      <c r="B103" s="122"/>
      <c r="C103" s="122"/>
      <c r="D103" s="122"/>
      <c r="E103" s="122"/>
      <c r="F103" s="122"/>
      <c r="G103" s="122"/>
      <c r="H103" s="122"/>
      <c r="I103" s="122"/>
      <c r="J103" s="122"/>
      <c r="K103" s="122"/>
      <c r="L103" s="122"/>
      <c r="M103" s="122"/>
      <c r="N103" s="122"/>
      <c r="O103" s="122"/>
      <c r="P103" s="122"/>
      <c r="Q103" s="122"/>
      <c r="R103" s="122"/>
      <c r="S103" s="122"/>
      <c r="T103" s="123"/>
      <c r="U103" s="124">
        <f>SUM(U92:U102)</f>
        <v>25704</v>
      </c>
      <c r="V103" s="125">
        <f>SUM(V89:V102)</f>
        <v>139516.33000000002</v>
      </c>
      <c r="W103" s="638"/>
      <c r="X103" s="106">
        <f>Z103</f>
        <v>37733.14</v>
      </c>
      <c r="Y103" s="111"/>
      <c r="Z103" s="126">
        <f>SUM(Z92:Z102)</f>
        <v>37733.14</v>
      </c>
      <c r="AA103" s="122"/>
      <c r="AB103" s="122"/>
      <c r="AC103" s="122"/>
      <c r="AD103" s="123"/>
    </row>
    <row r="104" spans="1:32" ht="11.45" customHeight="1" thickBot="1" x14ac:dyDescent="0.3">
      <c r="A104" s="235"/>
      <c r="B104" s="127"/>
      <c r="C104" s="127"/>
      <c r="D104" s="127"/>
      <c r="E104" s="127"/>
      <c r="F104" s="127"/>
      <c r="G104" s="127"/>
      <c r="H104" s="127"/>
      <c r="I104" s="127"/>
      <c r="J104" s="127"/>
      <c r="K104" s="127"/>
      <c r="L104" s="127"/>
      <c r="M104" s="127"/>
      <c r="N104" s="127"/>
      <c r="O104" s="127"/>
      <c r="P104" s="127"/>
      <c r="Q104" s="127"/>
      <c r="R104" s="127"/>
      <c r="S104" s="127"/>
      <c r="T104" s="127"/>
      <c r="U104" s="127"/>
      <c r="V104" s="128"/>
      <c r="W104" s="128"/>
      <c r="Y104" s="380"/>
      <c r="Z104" s="129"/>
      <c r="AA104" s="127"/>
      <c r="AB104" s="127"/>
      <c r="AC104" s="127"/>
      <c r="AD104" s="127"/>
    </row>
    <row r="105" spans="1:32" ht="30" customHeight="1" thickBot="1" x14ac:dyDescent="0.3">
      <c r="A105" s="555" t="s">
        <v>19</v>
      </c>
      <c r="B105" s="130"/>
      <c r="C105" s="130"/>
      <c r="D105" s="130"/>
      <c r="E105" s="130"/>
      <c r="F105" s="131"/>
      <c r="G105" s="132"/>
      <c r="H105" s="132"/>
      <c r="I105" s="132"/>
      <c r="J105" s="132"/>
      <c r="K105" s="132"/>
      <c r="L105" s="130"/>
      <c r="M105" s="130"/>
      <c r="N105" s="130"/>
      <c r="O105" s="130"/>
      <c r="P105" s="130"/>
      <c r="Q105" s="130"/>
      <c r="R105" s="130"/>
      <c r="S105" s="130"/>
      <c r="T105" s="130"/>
      <c r="U105" s="133"/>
      <c r="V105" s="134" t="s">
        <v>58</v>
      </c>
      <c r="W105" s="639"/>
      <c r="Y105" s="582"/>
      <c r="Z105" s="576"/>
      <c r="AA105" s="130"/>
      <c r="AB105" s="130"/>
      <c r="AC105" s="130"/>
      <c r="AD105" s="130"/>
    </row>
    <row r="106" spans="1:32" x14ac:dyDescent="0.25">
      <c r="A106" s="232" t="s">
        <v>245</v>
      </c>
      <c r="B106" s="135"/>
      <c r="C106" s="135"/>
      <c r="D106" s="135"/>
      <c r="E106" s="135">
        <v>2</v>
      </c>
      <c r="F106" s="256">
        <v>19</v>
      </c>
      <c r="G106" s="136">
        <v>65</v>
      </c>
      <c r="H106" s="136"/>
      <c r="I106" s="136"/>
      <c r="J106" s="136"/>
      <c r="K106" s="136"/>
      <c r="L106" s="135"/>
      <c r="M106" s="135"/>
      <c r="N106" s="135"/>
      <c r="O106" s="135"/>
      <c r="P106" s="135"/>
      <c r="Q106" s="135"/>
      <c r="R106" s="135"/>
      <c r="S106" s="135"/>
      <c r="T106" s="135"/>
      <c r="U106" s="137">
        <f>G106</f>
        <v>65</v>
      </c>
      <c r="V106" s="136">
        <f>(E106*F106*G106)/4</f>
        <v>617.5</v>
      </c>
      <c r="W106" s="106"/>
      <c r="Y106" s="7"/>
      <c r="Z106" s="106"/>
      <c r="AA106" s="83">
        <v>617.5</v>
      </c>
      <c r="AB106" s="83"/>
      <c r="AC106" s="83"/>
      <c r="AD106" s="3"/>
    </row>
    <row r="107" spans="1:32" x14ac:dyDescent="0.25">
      <c r="A107" s="232" t="s">
        <v>142</v>
      </c>
      <c r="B107" s="7"/>
      <c r="C107" s="7"/>
      <c r="D107" s="7"/>
      <c r="E107" s="7">
        <v>2</v>
      </c>
      <c r="F107" s="119">
        <v>19</v>
      </c>
      <c r="G107" s="81">
        <v>41.15</v>
      </c>
      <c r="H107" s="81"/>
      <c r="I107" s="81"/>
      <c r="J107" s="81"/>
      <c r="K107" s="81"/>
      <c r="L107" s="7"/>
      <c r="M107" s="7"/>
      <c r="N107" s="7"/>
      <c r="O107" s="7"/>
      <c r="P107" s="7"/>
      <c r="Q107" s="7"/>
      <c r="R107" s="7"/>
      <c r="S107" s="7"/>
      <c r="T107" s="7"/>
      <c r="U107" s="138">
        <f>F107*G107</f>
        <v>781.85</v>
      </c>
      <c r="V107" s="81">
        <f>(F107*G107*E107)/4</f>
        <v>390.92500000000001</v>
      </c>
      <c r="W107" s="106"/>
      <c r="Y107" s="7"/>
      <c r="Z107" s="106"/>
      <c r="AA107" s="83">
        <v>390.92500000000001</v>
      </c>
      <c r="AB107" s="83"/>
      <c r="AC107" s="83"/>
      <c r="AD107" s="3"/>
    </row>
    <row r="108" spans="1:32" x14ac:dyDescent="0.25">
      <c r="A108" s="232" t="s">
        <v>147</v>
      </c>
      <c r="B108" s="7"/>
      <c r="C108" s="7"/>
      <c r="D108" s="7"/>
      <c r="E108" s="7">
        <v>2</v>
      </c>
      <c r="F108" s="119">
        <v>19</v>
      </c>
      <c r="G108" s="81">
        <v>35.229999999999997</v>
      </c>
      <c r="H108" s="81"/>
      <c r="I108" s="81"/>
      <c r="J108" s="81"/>
      <c r="K108" s="81"/>
      <c r="L108" s="7"/>
      <c r="M108" s="7"/>
      <c r="N108" s="7"/>
      <c r="O108" s="7"/>
      <c r="P108" s="7"/>
      <c r="Q108" s="7"/>
      <c r="R108" s="7"/>
      <c r="S108" s="7"/>
      <c r="T108" s="7"/>
      <c r="U108" s="138">
        <f>F108*G108</f>
        <v>669.36999999999989</v>
      </c>
      <c r="V108" s="81">
        <f>(E108*F108*G108)/4</f>
        <v>334.68499999999995</v>
      </c>
      <c r="W108" s="106"/>
      <c r="Y108" s="7"/>
      <c r="Z108" s="106"/>
      <c r="AA108" s="83">
        <v>334.68499999999995</v>
      </c>
      <c r="AB108" s="83"/>
      <c r="AC108" s="83"/>
      <c r="AD108" s="3"/>
      <c r="AF108" s="106"/>
    </row>
    <row r="109" spans="1:32" x14ac:dyDescent="0.25">
      <c r="A109" s="557" t="s">
        <v>151</v>
      </c>
      <c r="B109" s="139"/>
      <c r="C109" s="7"/>
      <c r="D109" s="7"/>
      <c r="E109" s="7">
        <v>2</v>
      </c>
      <c r="F109" s="119">
        <v>19</v>
      </c>
      <c r="G109" s="81">
        <v>17.3</v>
      </c>
      <c r="H109" s="81"/>
      <c r="I109" s="81"/>
      <c r="J109" s="81"/>
      <c r="K109" s="81"/>
      <c r="L109" s="7"/>
      <c r="M109" s="7"/>
      <c r="N109" s="7"/>
      <c r="O109" s="7"/>
      <c r="P109" s="7"/>
      <c r="Q109" s="7"/>
      <c r="R109" s="7"/>
      <c r="S109" s="7"/>
      <c r="T109" s="7"/>
      <c r="U109" s="138">
        <f>B109*G109</f>
        <v>0</v>
      </c>
      <c r="V109" s="81">
        <f>(F109*G109*E109)/4</f>
        <v>164.35</v>
      </c>
      <c r="W109" s="106"/>
      <c r="Y109" s="7"/>
      <c r="Z109" s="106"/>
      <c r="AA109" s="83">
        <v>164.35</v>
      </c>
      <c r="AB109" s="83"/>
      <c r="AC109" s="83"/>
      <c r="AD109" s="83"/>
    </row>
    <row r="110" spans="1:32" x14ac:dyDescent="0.25">
      <c r="A110" s="558" t="s">
        <v>228</v>
      </c>
      <c r="B110" s="139"/>
      <c r="C110" s="7"/>
      <c r="D110" s="7"/>
      <c r="E110" s="7"/>
      <c r="F110" s="119"/>
      <c r="G110" s="81">
        <v>1500</v>
      </c>
      <c r="H110" s="81"/>
      <c r="I110" s="81"/>
      <c r="J110" s="81"/>
      <c r="K110" s="81"/>
      <c r="L110" s="7"/>
      <c r="M110" s="7"/>
      <c r="N110" s="7"/>
      <c r="O110" s="7"/>
      <c r="P110" s="7"/>
      <c r="Q110" s="7"/>
      <c r="R110" s="7"/>
      <c r="S110" s="7"/>
      <c r="T110" s="7"/>
      <c r="U110" s="138">
        <f>F110*G110</f>
        <v>0</v>
      </c>
      <c r="V110" s="81">
        <f>G110</f>
        <v>1500</v>
      </c>
      <c r="W110" s="106"/>
      <c r="Y110" s="7"/>
      <c r="Z110" s="106"/>
      <c r="AA110" s="83">
        <v>1500</v>
      </c>
      <c r="AB110" s="83"/>
      <c r="AC110" s="83"/>
      <c r="AD110" s="83"/>
      <c r="AF110" s="106"/>
    </row>
    <row r="111" spans="1:32" x14ac:dyDescent="0.25">
      <c r="A111" s="558" t="s">
        <v>403</v>
      </c>
      <c r="B111" s="139"/>
      <c r="C111" s="7"/>
      <c r="D111" s="7"/>
      <c r="E111" s="7"/>
      <c r="F111" s="119"/>
      <c r="G111" s="81">
        <v>1500</v>
      </c>
      <c r="H111" s="81"/>
      <c r="I111" s="81"/>
      <c r="J111" s="81"/>
      <c r="K111" s="81"/>
      <c r="L111" s="7"/>
      <c r="M111" s="7"/>
      <c r="N111" s="7"/>
      <c r="O111" s="7"/>
      <c r="P111" s="7"/>
      <c r="Q111" s="7"/>
      <c r="R111" s="7"/>
      <c r="S111" s="7"/>
      <c r="T111" s="7"/>
      <c r="U111" s="138"/>
      <c r="V111" s="81">
        <f>G111</f>
        <v>1500</v>
      </c>
      <c r="W111" s="106"/>
      <c r="Y111" s="7"/>
      <c r="Z111" s="106"/>
      <c r="AA111" s="83"/>
      <c r="AB111" s="83"/>
      <c r="AC111" s="83"/>
      <c r="AD111" s="83"/>
      <c r="AF111" s="106"/>
    </row>
    <row r="112" spans="1:32" x14ac:dyDescent="0.25">
      <c r="A112" s="558" t="s">
        <v>404</v>
      </c>
      <c r="B112" s="139"/>
      <c r="C112" s="7"/>
      <c r="D112" s="7"/>
      <c r="E112" s="7"/>
      <c r="F112" s="119">
        <v>12</v>
      </c>
      <c r="G112" s="81">
        <v>80</v>
      </c>
      <c r="H112" s="81"/>
      <c r="I112" s="81"/>
      <c r="J112" s="81"/>
      <c r="K112" s="81"/>
      <c r="L112" s="7"/>
      <c r="M112" s="7"/>
      <c r="N112" s="7"/>
      <c r="O112" s="7"/>
      <c r="P112" s="7"/>
      <c r="Q112" s="7"/>
      <c r="R112" s="7"/>
      <c r="S112" s="7"/>
      <c r="T112" s="7"/>
      <c r="U112" s="138"/>
      <c r="V112" s="81">
        <f>F112*G112</f>
        <v>960</v>
      </c>
      <c r="W112" s="106"/>
      <c r="Y112" s="7"/>
      <c r="Z112" s="106"/>
      <c r="AA112" s="83"/>
      <c r="AB112" s="83"/>
      <c r="AC112" s="83"/>
      <c r="AD112" s="83"/>
      <c r="AF112" s="106"/>
    </row>
    <row r="113" spans="1:35" x14ac:dyDescent="0.25">
      <c r="A113" s="558" t="s">
        <v>227</v>
      </c>
      <c r="B113" s="139"/>
      <c r="C113" s="7"/>
      <c r="D113" s="7"/>
      <c r="E113" s="7"/>
      <c r="F113" s="119"/>
      <c r="G113" s="81">
        <v>2000</v>
      </c>
      <c r="H113" s="81"/>
      <c r="I113" s="81"/>
      <c r="J113" s="81"/>
      <c r="K113" s="81"/>
      <c r="L113" s="7"/>
      <c r="M113" s="7"/>
      <c r="N113" s="7"/>
      <c r="O113" s="7"/>
      <c r="P113" s="7"/>
      <c r="Q113" s="7"/>
      <c r="R113" s="7"/>
      <c r="S113" s="7"/>
      <c r="T113" s="7"/>
      <c r="U113" s="138">
        <f>G113</f>
        <v>2000</v>
      </c>
      <c r="V113" s="81">
        <f>G113</f>
        <v>2000</v>
      </c>
      <c r="W113" s="106"/>
      <c r="Y113" s="7"/>
      <c r="Z113" s="106"/>
      <c r="AA113" s="83">
        <v>650</v>
      </c>
      <c r="AB113" s="83"/>
      <c r="AC113" s="83"/>
      <c r="AD113" s="83"/>
      <c r="AF113" s="106"/>
    </row>
    <row r="114" spans="1:35" x14ac:dyDescent="0.25">
      <c r="A114" s="558" t="s">
        <v>230</v>
      </c>
      <c r="B114" s="139"/>
      <c r="C114" s="7"/>
      <c r="D114" s="7"/>
      <c r="E114" s="7"/>
      <c r="F114" s="119"/>
      <c r="G114" s="81">
        <v>1500</v>
      </c>
      <c r="H114" s="81"/>
      <c r="I114" s="81"/>
      <c r="J114" s="81"/>
      <c r="K114" s="81"/>
      <c r="L114" s="7"/>
      <c r="M114" s="7"/>
      <c r="N114" s="7"/>
      <c r="O114" s="7"/>
      <c r="P114" s="7"/>
      <c r="Q114" s="7"/>
      <c r="R114" s="7"/>
      <c r="S114" s="7"/>
      <c r="T114" s="7"/>
      <c r="U114" s="138"/>
      <c r="V114" s="81">
        <f>G114</f>
        <v>1500</v>
      </c>
      <c r="W114" s="106"/>
      <c r="Y114" s="7"/>
      <c r="Z114" s="106"/>
      <c r="AA114" s="83"/>
      <c r="AB114" s="83"/>
      <c r="AC114" s="83"/>
      <c r="AD114" s="83"/>
      <c r="AF114" s="106"/>
    </row>
    <row r="115" spans="1:35" ht="15.75" thickBot="1" x14ac:dyDescent="0.3">
      <c r="A115" s="558" t="s">
        <v>405</v>
      </c>
      <c r="B115" s="7"/>
      <c r="C115" s="7"/>
      <c r="D115" s="7"/>
      <c r="E115" s="7"/>
      <c r="F115" s="119"/>
      <c r="G115" s="81">
        <v>90000</v>
      </c>
      <c r="H115" s="81"/>
      <c r="I115" s="81"/>
      <c r="J115" s="81"/>
      <c r="K115" s="81"/>
      <c r="L115" s="7"/>
      <c r="M115" s="7"/>
      <c r="N115" s="7"/>
      <c r="O115" s="7"/>
      <c r="P115" s="7"/>
      <c r="Q115" s="7"/>
      <c r="R115" s="7"/>
      <c r="S115" s="7"/>
      <c r="T115" s="7"/>
      <c r="U115" s="138">
        <v>3000</v>
      </c>
      <c r="V115" s="81">
        <v>90000</v>
      </c>
      <c r="W115" s="106"/>
      <c r="Y115" s="7"/>
      <c r="Z115" s="106"/>
      <c r="AA115" s="83">
        <v>149</v>
      </c>
      <c r="AB115" s="83"/>
      <c r="AC115" s="83"/>
      <c r="AD115" s="83"/>
    </row>
    <row r="116" spans="1:35" ht="30" customHeight="1" thickBot="1" x14ac:dyDescent="0.3">
      <c r="A116" s="556" t="s">
        <v>19</v>
      </c>
      <c r="B116" s="140"/>
      <c r="C116" s="140"/>
      <c r="D116" s="140"/>
      <c r="E116" s="140"/>
      <c r="F116" s="141"/>
      <c r="G116" s="142"/>
      <c r="H116" s="142"/>
      <c r="I116" s="142"/>
      <c r="J116" s="142"/>
      <c r="K116" s="142"/>
      <c r="L116" s="140"/>
      <c r="M116" s="140"/>
      <c r="N116" s="140"/>
      <c r="O116" s="140"/>
      <c r="P116" s="140"/>
      <c r="Q116" s="140"/>
      <c r="R116" s="140"/>
      <c r="S116" s="140"/>
      <c r="T116" s="140"/>
      <c r="U116" s="143"/>
      <c r="V116" s="144">
        <f>SUM(V106:V115)</f>
        <v>98967.459999999992</v>
      </c>
      <c r="W116" s="640"/>
      <c r="X116" s="106">
        <f>AA116+AD116</f>
        <v>3806.46</v>
      </c>
      <c r="Y116" s="550"/>
      <c r="Z116" s="140"/>
      <c r="AA116" s="142">
        <f>SUM(AA106:AA115)</f>
        <v>3806.46</v>
      </c>
      <c r="AB116" s="142"/>
      <c r="AC116" s="142"/>
      <c r="AD116" s="142"/>
    </row>
    <row r="117" spans="1:35" ht="10.5" customHeight="1" thickBot="1" x14ac:dyDescent="0.3">
      <c r="A117" s="235"/>
      <c r="B117" s="2"/>
      <c r="C117" s="2"/>
      <c r="D117" s="2"/>
      <c r="E117" s="2"/>
      <c r="F117" s="552"/>
      <c r="G117" s="110"/>
      <c r="H117" s="110"/>
      <c r="I117" s="110"/>
      <c r="J117" s="110"/>
      <c r="K117" s="110"/>
      <c r="L117" s="2"/>
      <c r="M117" s="2"/>
      <c r="N117" s="2"/>
      <c r="O117" s="2"/>
      <c r="P117" s="2"/>
      <c r="Q117" s="2"/>
      <c r="R117" s="2"/>
      <c r="S117" s="2"/>
      <c r="T117" s="2"/>
      <c r="U117" s="553"/>
      <c r="V117" s="554"/>
      <c r="W117" s="641"/>
      <c r="X117" s="106"/>
      <c r="Y117" s="550"/>
      <c r="Z117" s="550"/>
      <c r="AA117" s="551"/>
      <c r="AB117" s="551"/>
      <c r="AC117" s="551"/>
      <c r="AD117" s="551"/>
    </row>
    <row r="118" spans="1:35" ht="21.95" customHeight="1" thickBot="1" x14ac:dyDescent="0.3">
      <c r="A118" s="549" t="s">
        <v>59</v>
      </c>
      <c r="B118" s="145"/>
      <c r="C118" s="145"/>
      <c r="D118" s="145"/>
      <c r="E118" s="145"/>
      <c r="F118" s="145"/>
      <c r="G118" s="145"/>
      <c r="H118" s="145"/>
      <c r="I118" s="145"/>
      <c r="J118" s="145"/>
      <c r="K118" s="145"/>
      <c r="L118" s="145"/>
      <c r="M118" s="145"/>
      <c r="N118" s="145"/>
      <c r="O118" s="145"/>
      <c r="P118" s="145"/>
      <c r="Q118" s="145"/>
      <c r="R118" s="145"/>
      <c r="S118" s="145"/>
      <c r="T118" s="145"/>
      <c r="U118" s="146">
        <f>SUM(U106:U115)</f>
        <v>6516.2199999999993</v>
      </c>
      <c r="V118" s="147">
        <f>V103+V116</f>
        <v>238483.79</v>
      </c>
      <c r="W118" s="642"/>
      <c r="X118" s="106">
        <f>Z118+AA118+AD118</f>
        <v>41539.599999999999</v>
      </c>
      <c r="Y118" s="145"/>
      <c r="Z118" s="148">
        <f>Z103</f>
        <v>37733.14</v>
      </c>
      <c r="AA118" s="148">
        <f>AA116</f>
        <v>3806.46</v>
      </c>
      <c r="AB118" s="148"/>
      <c r="AC118" s="148"/>
      <c r="AD118" s="148"/>
    </row>
    <row r="119" spans="1:35" ht="30" customHeight="1" thickBot="1" x14ac:dyDescent="0.3">
      <c r="A119" s="236" t="s">
        <v>60</v>
      </c>
      <c r="B119" s="149"/>
      <c r="C119" s="149"/>
      <c r="D119" s="149"/>
      <c r="E119" s="149"/>
      <c r="F119" s="150"/>
      <c r="G119" s="151"/>
      <c r="H119" s="151"/>
      <c r="I119" s="151"/>
      <c r="J119" s="151"/>
      <c r="K119" s="151"/>
      <c r="L119" s="152"/>
      <c r="M119" s="152"/>
      <c r="N119" s="152"/>
      <c r="O119" s="152"/>
      <c r="P119" s="152"/>
      <c r="Q119" s="149"/>
      <c r="R119" s="149"/>
      <c r="S119" s="149"/>
      <c r="T119" s="149"/>
      <c r="U119" s="153" t="e">
        <f>U86+U103+U118</f>
        <v>#REF!</v>
      </c>
      <c r="V119" s="154">
        <f>V118+V86</f>
        <v>3713107.5815061154</v>
      </c>
      <c r="W119" s="154"/>
      <c r="X119" s="106">
        <f>Y119+Z119+AA119+AD119</f>
        <v>41539.599999999999</v>
      </c>
      <c r="Y119" s="155"/>
      <c r="Z119" s="155">
        <f>Z118</f>
        <v>37733.14</v>
      </c>
      <c r="AA119" s="155">
        <f>AA116</f>
        <v>3806.46</v>
      </c>
      <c r="AB119" s="155"/>
      <c r="AC119" s="155"/>
      <c r="AD119" s="155"/>
    </row>
    <row r="120" spans="1:35" ht="20.100000000000001" customHeight="1" x14ac:dyDescent="0.25">
      <c r="A120" s="237" t="s">
        <v>61</v>
      </c>
      <c r="B120" s="156"/>
      <c r="C120" s="156"/>
      <c r="D120" s="156"/>
      <c r="E120" s="156"/>
      <c r="F120" s="156"/>
      <c r="G120" s="156"/>
      <c r="H120" s="156"/>
      <c r="I120" s="156"/>
      <c r="J120" s="156"/>
      <c r="K120" s="156"/>
      <c r="L120" s="157"/>
      <c r="M120" s="157"/>
      <c r="N120" s="157"/>
      <c r="O120" s="157"/>
      <c r="P120" s="157"/>
      <c r="Q120" s="156"/>
      <c r="R120" s="156"/>
      <c r="S120" s="156"/>
      <c r="T120" s="156"/>
      <c r="U120" s="158"/>
      <c r="V120" s="158"/>
      <c r="W120" s="643"/>
      <c r="X120" s="159"/>
      <c r="Y120" s="156"/>
      <c r="Z120" s="156"/>
      <c r="AA120" s="156"/>
      <c r="AB120" s="156"/>
      <c r="AC120" s="156"/>
      <c r="AD120" s="156"/>
      <c r="AE120" s="106"/>
    </row>
    <row r="121" spans="1:35" ht="28.5" customHeight="1" x14ac:dyDescent="0.25">
      <c r="A121" s="238" t="s">
        <v>62</v>
      </c>
      <c r="B121" s="283">
        <v>0.06</v>
      </c>
      <c r="C121" s="7"/>
      <c r="D121" s="7"/>
      <c r="E121" s="7"/>
      <c r="F121" s="7"/>
      <c r="G121" s="160">
        <f>V119</f>
        <v>3713107.5815061154</v>
      </c>
      <c r="H121" s="160"/>
      <c r="I121" s="160"/>
      <c r="J121" s="160"/>
      <c r="K121" s="160"/>
      <c r="L121" s="7"/>
      <c r="M121" s="7"/>
      <c r="N121" s="7"/>
      <c r="O121" s="7"/>
      <c r="P121" s="7"/>
      <c r="Q121" s="7"/>
      <c r="R121" s="7"/>
      <c r="S121" s="7"/>
      <c r="T121" s="7"/>
      <c r="U121" s="161">
        <f>B121*G121</f>
        <v>222786.45489036691</v>
      </c>
      <c r="V121" s="162">
        <f>(G121*B121)+0.001</f>
        <v>222786.45589036689</v>
      </c>
      <c r="W121" s="644"/>
      <c r="X121" s="163"/>
      <c r="Y121" s="3"/>
      <c r="AA121" s="164">
        <f>V121</f>
        <v>222786.45589036689</v>
      </c>
      <c r="AB121" s="164"/>
      <c r="AC121" s="164"/>
      <c r="AD121" s="3"/>
    </row>
    <row r="122" spans="1:35" ht="26.45" customHeight="1" x14ac:dyDescent="0.25">
      <c r="A122" s="239" t="s">
        <v>20</v>
      </c>
      <c r="B122" s="282">
        <v>4.4999999999999998E-2</v>
      </c>
      <c r="C122" s="165"/>
      <c r="D122" s="165"/>
      <c r="E122" s="165"/>
      <c r="F122" s="165"/>
      <c r="G122" s="166">
        <f>V119</f>
        <v>3713107.5815061154</v>
      </c>
      <c r="H122" s="166"/>
      <c r="I122" s="166"/>
      <c r="J122" s="166"/>
      <c r="K122" s="166"/>
      <c r="L122" s="165"/>
      <c r="M122" s="165"/>
      <c r="N122" s="165"/>
      <c r="O122" s="165"/>
      <c r="P122" s="165"/>
      <c r="Q122" s="165"/>
      <c r="R122" s="165"/>
      <c r="S122" s="165"/>
      <c r="T122" s="165"/>
      <c r="U122" s="167">
        <f>G122*B122+0.0035</f>
        <v>167089.84466777518</v>
      </c>
      <c r="V122" s="160">
        <f>(G122*B122)</f>
        <v>167089.84116777519</v>
      </c>
      <c r="W122" s="20"/>
      <c r="X122" s="163"/>
      <c r="Y122" s="3"/>
      <c r="AA122" s="3"/>
      <c r="AB122" s="164">
        <f>'TAULA MARE'!$V$122</f>
        <v>167089.84116777519</v>
      </c>
      <c r="AC122" s="164"/>
      <c r="AD122" s="3"/>
    </row>
    <row r="123" spans="1:35" ht="30" customHeight="1" thickBot="1" x14ac:dyDescent="0.3">
      <c r="A123" s="240" t="s">
        <v>21</v>
      </c>
      <c r="B123" s="168"/>
      <c r="C123" s="168"/>
      <c r="D123" s="168"/>
      <c r="E123" s="168"/>
      <c r="F123" s="168"/>
      <c r="G123" s="168"/>
      <c r="H123" s="168"/>
      <c r="I123" s="168"/>
      <c r="J123" s="168"/>
      <c r="K123" s="168"/>
      <c r="L123" s="168"/>
      <c r="M123" s="168"/>
      <c r="N123" s="168"/>
      <c r="O123" s="168"/>
      <c r="P123" s="168"/>
      <c r="Q123" s="168"/>
      <c r="R123" s="168"/>
      <c r="S123" s="149"/>
      <c r="T123" s="168"/>
      <c r="U123" s="169">
        <f>SUM(U121:U122)-0.0001</f>
        <v>389876.29945814208</v>
      </c>
      <c r="V123" s="170">
        <f>SUM(V121:V122)</f>
        <v>389876.29705814208</v>
      </c>
      <c r="W123" s="645"/>
      <c r="X123" s="171">
        <f>Y123+Z123+AA123+AB123+AD123</f>
        <v>389876.29705814208</v>
      </c>
      <c r="Y123" s="149"/>
      <c r="Z123" s="149"/>
      <c r="AA123" s="172">
        <f>SUM(AA121:AA122)</f>
        <v>222786.45589036689</v>
      </c>
      <c r="AB123" s="172">
        <f>AB122</f>
        <v>167089.84116777519</v>
      </c>
      <c r="AC123" s="172"/>
      <c r="AD123" s="149"/>
    </row>
    <row r="124" spans="1:35" ht="27.6" customHeight="1" thickTop="1" thickBot="1" x14ac:dyDescent="0.35">
      <c r="A124" s="241" t="s">
        <v>22</v>
      </c>
      <c r="B124" s="173"/>
      <c r="C124" s="173"/>
      <c r="D124" s="173"/>
      <c r="E124" s="173"/>
      <c r="F124" s="173"/>
      <c r="G124" s="173"/>
      <c r="H124" s="173"/>
      <c r="I124" s="173"/>
      <c r="J124" s="173"/>
      <c r="K124" s="173"/>
      <c r="L124" s="173"/>
      <c r="M124" s="173"/>
      <c r="N124" s="173"/>
      <c r="O124" s="173"/>
      <c r="P124" s="173"/>
      <c r="Q124" s="173"/>
      <c r="R124" s="173"/>
      <c r="S124" s="173"/>
      <c r="T124" s="173"/>
      <c r="U124" s="174" t="e">
        <f>U119+U123-0.009</f>
        <v>#REF!</v>
      </c>
      <c r="V124" s="175">
        <f>V86+V118+V123</f>
        <v>4102983.8785642576</v>
      </c>
      <c r="W124" s="646"/>
      <c r="X124" s="171" t="e">
        <f>SUM(Y124:AD124)</f>
        <v>#REF!</v>
      </c>
      <c r="Y124" s="176"/>
      <c r="Z124" s="177">
        <f>Z119</f>
        <v>37733.14</v>
      </c>
      <c r="AA124" s="177">
        <f>AA119+AA123</f>
        <v>226592.91589036689</v>
      </c>
      <c r="AB124" s="177">
        <f>AB123</f>
        <v>167089.84116777519</v>
      </c>
      <c r="AC124" s="177" t="e">
        <f>AC86</f>
        <v>#REF!</v>
      </c>
      <c r="AD124" s="178">
        <f>AD119</f>
        <v>0</v>
      </c>
      <c r="AI124" s="106"/>
    </row>
    <row r="125" spans="1:35" ht="21.6" customHeight="1" thickTop="1" x14ac:dyDescent="0.25">
      <c r="A125" s="216" t="s">
        <v>63</v>
      </c>
      <c r="B125" s="179">
        <v>0.1</v>
      </c>
      <c r="G125" s="20" t="e">
        <f>U124</f>
        <v>#REF!</v>
      </c>
      <c r="H125" s="20"/>
      <c r="I125" s="20"/>
      <c r="J125" s="20"/>
      <c r="K125" s="20"/>
      <c r="U125" s="180" t="e">
        <f>G125*10%</f>
        <v>#REF!</v>
      </c>
      <c r="V125" s="160">
        <f>V124*B125</f>
        <v>410298.38785642578</v>
      </c>
      <c r="W125" s="20"/>
      <c r="X125" s="171"/>
      <c r="Y125" s="106"/>
      <c r="Z125" s="106"/>
      <c r="AA125" s="106"/>
      <c r="AB125" s="106"/>
      <c r="AC125" s="106"/>
      <c r="AD125" s="106">
        <f>AD124*10%</f>
        <v>0</v>
      </c>
    </row>
    <row r="126" spans="1:35" ht="15.75" x14ac:dyDescent="0.25">
      <c r="A126" s="242" t="s">
        <v>23</v>
      </c>
      <c r="B126" s="181"/>
      <c r="C126" s="181"/>
      <c r="D126" s="181"/>
      <c r="E126" s="181"/>
      <c r="F126" s="181"/>
      <c r="G126" s="181"/>
      <c r="H126" s="181"/>
      <c r="I126" s="181"/>
      <c r="J126" s="181"/>
      <c r="K126" s="181"/>
      <c r="L126" s="181"/>
      <c r="M126" s="181"/>
      <c r="N126" s="181"/>
      <c r="O126" s="181"/>
      <c r="P126" s="181"/>
      <c r="Q126" s="181"/>
      <c r="R126" s="181"/>
      <c r="S126" s="181"/>
      <c r="T126" s="181"/>
      <c r="U126" s="182" t="e">
        <f>U124+U125</f>
        <v>#REF!</v>
      </c>
      <c r="V126" s="183">
        <f>SUM(V124:V125)</f>
        <v>4513282.2664206838</v>
      </c>
      <c r="W126" s="647"/>
      <c r="X126" s="171"/>
      <c r="Y126" s="184"/>
      <c r="Z126" s="184"/>
      <c r="AA126" s="184"/>
      <c r="AB126" s="184"/>
      <c r="AC126" s="184"/>
      <c r="AD126" s="184">
        <f t="shared" ref="AD126" si="14">AD124+AD125</f>
        <v>0</v>
      </c>
    </row>
    <row r="127" spans="1:35" x14ac:dyDescent="0.25">
      <c r="K127" s="20"/>
      <c r="X127" s="171"/>
      <c r="Z127" s="106"/>
    </row>
    <row r="128" spans="1:35" ht="30.75" customHeight="1" x14ac:dyDescent="0.25">
      <c r="S128" s="20"/>
      <c r="U128" s="20"/>
      <c r="V128" s="106"/>
      <c r="W128" s="106"/>
      <c r="Z128" s="185"/>
    </row>
    <row r="129" spans="5:30" x14ac:dyDescent="0.25">
      <c r="U129" s="186"/>
      <c r="X129" s="1707" t="s">
        <v>64</v>
      </c>
      <c r="Y129" s="1707"/>
      <c r="Z129" s="187">
        <f>Y124+Z124+AA124+AB124</f>
        <v>431415.89705814212</v>
      </c>
      <c r="AA129" s="263">
        <v>2074562.9220066876</v>
      </c>
      <c r="AB129" s="171"/>
      <c r="AC129" s="188"/>
      <c r="AD129" s="189"/>
    </row>
    <row r="130" spans="5:30" x14ac:dyDescent="0.25">
      <c r="G130" s="190"/>
      <c r="H130" s="190"/>
      <c r="I130" s="190"/>
      <c r="J130" s="190"/>
      <c r="Q130" s="186"/>
      <c r="S130" s="20"/>
      <c r="T130" s="20"/>
      <c r="V130">
        <v>800</v>
      </c>
      <c r="X130" s="1707" t="s">
        <v>231</v>
      </c>
      <c r="Y130" s="1707"/>
      <c r="Z130" s="106">
        <v>31200</v>
      </c>
      <c r="AA130" s="106">
        <f>Z130/V130</f>
        <v>39</v>
      </c>
      <c r="AB130" s="106"/>
    </row>
    <row r="131" spans="5:30" x14ac:dyDescent="0.25">
      <c r="F131" s="191"/>
      <c r="G131" s="192"/>
      <c r="H131" s="192"/>
      <c r="I131" s="192"/>
      <c r="J131" s="193"/>
      <c r="K131" s="194"/>
      <c r="L131" s="195"/>
      <c r="M131" s="195"/>
      <c r="N131" s="195"/>
      <c r="O131" s="195"/>
      <c r="P131" s="195"/>
      <c r="R131" s="186"/>
      <c r="S131" s="194"/>
      <c r="T131" s="196"/>
      <c r="U131" s="197"/>
      <c r="V131">
        <v>400</v>
      </c>
      <c r="X131" s="198" t="s">
        <v>232</v>
      </c>
      <c r="Y131" s="198"/>
      <c r="Z131" s="99">
        <v>22800</v>
      </c>
      <c r="AA131" s="106">
        <f>Z131/V131</f>
        <v>57</v>
      </c>
      <c r="AB131" s="106"/>
    </row>
    <row r="132" spans="5:30" x14ac:dyDescent="0.25">
      <c r="E132" s="195"/>
      <c r="G132" s="199"/>
      <c r="H132" s="199"/>
      <c r="I132" s="199"/>
      <c r="J132" s="193"/>
      <c r="K132" s="179"/>
      <c r="L132" s="194"/>
      <c r="M132" s="194"/>
      <c r="N132" s="194"/>
      <c r="O132" s="194"/>
      <c r="P132" s="194"/>
      <c r="V132">
        <v>50</v>
      </c>
      <c r="X132" t="s">
        <v>233</v>
      </c>
      <c r="Z132" s="264">
        <v>3300</v>
      </c>
      <c r="AA132" s="106">
        <f>Z132/V132</f>
        <v>66</v>
      </c>
      <c r="AB132" s="106"/>
    </row>
    <row r="133" spans="5:30" x14ac:dyDescent="0.25">
      <c r="G133" s="192"/>
      <c r="H133" s="192"/>
      <c r="I133" s="192"/>
      <c r="J133" s="193"/>
      <c r="K133" s="201"/>
      <c r="L133" s="194"/>
      <c r="M133" s="194"/>
      <c r="N133" s="194"/>
      <c r="O133" s="194"/>
      <c r="P133" s="194"/>
      <c r="Z133" s="200">
        <f>SUM(Z129:Z132)</f>
        <v>488715.89705814212</v>
      </c>
      <c r="AA133" s="106"/>
      <c r="AB133" s="106"/>
      <c r="AD133" s="106"/>
    </row>
    <row r="134" spans="5:30" x14ac:dyDescent="0.25">
      <c r="G134" s="20"/>
      <c r="H134" s="20"/>
      <c r="I134" s="20"/>
      <c r="J134" s="202"/>
      <c r="L134" s="193"/>
      <c r="M134" s="193"/>
      <c r="N134" s="193"/>
      <c r="O134" s="193"/>
      <c r="P134" s="193"/>
      <c r="S134" s="195"/>
      <c r="Z134" s="106"/>
    </row>
    <row r="135" spans="5:30" x14ac:dyDescent="0.25">
      <c r="G135" s="20"/>
      <c r="H135" s="20"/>
      <c r="I135" s="20"/>
      <c r="L135" s="202"/>
      <c r="M135" s="202"/>
      <c r="N135" s="202"/>
      <c r="O135" s="202"/>
      <c r="P135" s="202"/>
      <c r="S135" s="20"/>
      <c r="T135" s="203"/>
    </row>
    <row r="136" spans="5:30" x14ac:dyDescent="0.25">
      <c r="G136" s="20"/>
      <c r="H136" s="20"/>
      <c r="I136" s="20"/>
      <c r="K136" s="194"/>
      <c r="T136" s="194"/>
    </row>
    <row r="137" spans="5:30" x14ac:dyDescent="0.25">
      <c r="G137" s="20"/>
      <c r="H137" s="20"/>
      <c r="I137" s="20"/>
      <c r="J137" s="195"/>
      <c r="K137" s="202"/>
      <c r="Z137" s="106"/>
    </row>
    <row r="138" spans="5:30" x14ac:dyDescent="0.25">
      <c r="J138" s="202"/>
    </row>
    <row r="139" spans="5:30" x14ac:dyDescent="0.25">
      <c r="G139" s="20"/>
      <c r="H139" s="20"/>
      <c r="I139" s="20"/>
    </row>
    <row r="140" spans="5:30" x14ac:dyDescent="0.25">
      <c r="V140" s="20"/>
      <c r="W140" s="20"/>
    </row>
  </sheetData>
  <mergeCells count="5">
    <mergeCell ref="A1:X1"/>
    <mergeCell ref="A3:X3"/>
    <mergeCell ref="A4:X4"/>
    <mergeCell ref="X129:Y129"/>
    <mergeCell ref="X130:Y130"/>
  </mergeCells>
  <printOptions horizontalCentered="1"/>
  <pageMargins left="0.23622047244094491" right="0.23622047244094491" top="0.74803149606299213" bottom="0.74803149606299213" header="0.31496062992125984" footer="0.31496062992125984"/>
  <pageSetup paperSize="8" scale="45" orientation="landscape" r:id="rId1"/>
  <customProperties>
    <customPr name="EpmWorksheetKeyString_GUID" r:id="rId2"/>
  </customProperties>
  <ignoredErrors>
    <ignoredError sqref="V97 V107:V108 G37 R43:S43 S62 R63 V112 V58 V70 T76" formula="1"/>
  </ignoredErrors>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election activeCell="J24" sqref="J24"/>
    </sheetView>
  </sheetViews>
  <sheetFormatPr defaultRowHeight="15" x14ac:dyDescent="0.25"/>
  <sheetData/>
  <pageMargins left="0.7" right="0.7" top="0.75" bottom="0.75" header="0.3" footer="0.3"/>
  <customProperties>
    <customPr name="EpmWorksheetKeyString_GUID" r:id="rId1"/>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5" x14ac:dyDescent="0.25"/>
  <sheetData/>
  <pageMargins left="0.7" right="0.7" top="0.75" bottom="0.75" header="0.3" footer="0.3"/>
  <customProperties>
    <customPr name="EpmWorksheetKeyString_GUID" r:id="rId1"/>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topLeftCell="A18" workbookViewId="0">
      <selection activeCell="C18" sqref="C18"/>
    </sheetView>
  </sheetViews>
  <sheetFormatPr defaultRowHeight="15" x14ac:dyDescent="0.25"/>
  <sheetData/>
  <pageMargins left="0.7" right="0.7" top="0.75" bottom="0.75" header="0.3" footer="0.3"/>
  <customProperties>
    <customPr name="EpmWorksheetKeyString_GUID" r:id="rId1"/>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W78"/>
  <sheetViews>
    <sheetView topLeftCell="A7" workbookViewId="0">
      <selection activeCell="B49" sqref="B49:S49"/>
    </sheetView>
  </sheetViews>
  <sheetFormatPr defaultRowHeight="15" x14ac:dyDescent="0.25"/>
  <sheetData>
    <row r="2" spans="1:23" x14ac:dyDescent="0.25">
      <c r="A2" t="s">
        <v>68</v>
      </c>
      <c r="B2" s="207" t="s">
        <v>69</v>
      </c>
    </row>
    <row r="3" spans="1:23" x14ac:dyDescent="0.25">
      <c r="B3" t="s">
        <v>70</v>
      </c>
    </row>
    <row r="4" spans="1:23" x14ac:dyDescent="0.25">
      <c r="B4" t="s">
        <v>71</v>
      </c>
      <c r="L4" t="s">
        <v>97</v>
      </c>
    </row>
    <row r="5" spans="1:23" x14ac:dyDescent="0.25">
      <c r="B5" t="s">
        <v>72</v>
      </c>
      <c r="L5" t="s">
        <v>98</v>
      </c>
      <c r="Q5" t="s">
        <v>119</v>
      </c>
      <c r="R5" t="s">
        <v>120</v>
      </c>
    </row>
    <row r="6" spans="1:23" x14ac:dyDescent="0.25">
      <c r="B6" t="s">
        <v>73</v>
      </c>
      <c r="L6" t="s">
        <v>99</v>
      </c>
    </row>
    <row r="7" spans="1:23" ht="18" x14ac:dyDescent="0.25">
      <c r="B7" t="s">
        <v>74</v>
      </c>
      <c r="W7" s="243" t="s">
        <v>131</v>
      </c>
    </row>
    <row r="8" spans="1:23" x14ac:dyDescent="0.25">
      <c r="B8" s="1717"/>
      <c r="C8" s="1717"/>
      <c r="D8" s="1717"/>
      <c r="E8" s="1717"/>
    </row>
    <row r="9" spans="1:23" x14ac:dyDescent="0.25">
      <c r="A9" t="s">
        <v>75</v>
      </c>
      <c r="B9" s="19" t="s">
        <v>76</v>
      </c>
      <c r="C9" s="19"/>
      <c r="L9" t="s">
        <v>79</v>
      </c>
    </row>
    <row r="10" spans="1:23" x14ac:dyDescent="0.25">
      <c r="B10" t="s">
        <v>77</v>
      </c>
    </row>
    <row r="11" spans="1:23" x14ac:dyDescent="0.25">
      <c r="B11" t="s">
        <v>78</v>
      </c>
    </row>
    <row r="13" spans="1:23" x14ac:dyDescent="0.25">
      <c r="B13" s="19" t="s">
        <v>80</v>
      </c>
      <c r="C13" s="19"/>
      <c r="N13" t="s">
        <v>85</v>
      </c>
      <c r="O13" t="s">
        <v>86</v>
      </c>
      <c r="P13" t="s">
        <v>87</v>
      </c>
      <c r="T13" t="s">
        <v>89</v>
      </c>
    </row>
    <row r="14" spans="1:23" x14ac:dyDescent="0.25">
      <c r="B14" s="19" t="s">
        <v>81</v>
      </c>
      <c r="C14" s="19"/>
      <c r="P14" t="s">
        <v>88</v>
      </c>
    </row>
    <row r="15" spans="1:23" x14ac:dyDescent="0.25">
      <c r="B15" s="19" t="s">
        <v>82</v>
      </c>
      <c r="C15" s="19"/>
    </row>
    <row r="16" spans="1:23" x14ac:dyDescent="0.25">
      <c r="B16" t="s">
        <v>83</v>
      </c>
    </row>
    <row r="17" spans="2:17" x14ac:dyDescent="0.25">
      <c r="B17" t="s">
        <v>84</v>
      </c>
    </row>
    <row r="19" spans="2:17" x14ac:dyDescent="0.25">
      <c r="B19" t="s">
        <v>90</v>
      </c>
    </row>
    <row r="20" spans="2:17" x14ac:dyDescent="0.25">
      <c r="B20" t="s">
        <v>91</v>
      </c>
    </row>
    <row r="21" spans="2:17" x14ac:dyDescent="0.25">
      <c r="B21" s="1718" t="s">
        <v>94</v>
      </c>
      <c r="C21" s="1718"/>
      <c r="D21" s="1718"/>
      <c r="E21" s="1718"/>
      <c r="F21" s="1718"/>
      <c r="G21" s="1718"/>
      <c r="H21" s="211">
        <v>35</v>
      </c>
      <c r="Q21" s="208">
        <f>45+35+38</f>
        <v>118</v>
      </c>
    </row>
    <row r="22" spans="2:17" x14ac:dyDescent="0.25">
      <c r="B22" t="s">
        <v>92</v>
      </c>
      <c r="H22" s="212" t="s">
        <v>95</v>
      </c>
      <c r="Q22" s="213">
        <f>Q21/3</f>
        <v>39.333333333333336</v>
      </c>
    </row>
    <row r="23" spans="2:17" x14ac:dyDescent="0.25">
      <c r="B23" t="s">
        <v>93</v>
      </c>
      <c r="H23" s="212" t="s">
        <v>96</v>
      </c>
    </row>
    <row r="26" spans="2:17" x14ac:dyDescent="0.25">
      <c r="B26" t="s">
        <v>100</v>
      </c>
      <c r="L26" t="s">
        <v>118</v>
      </c>
    </row>
    <row r="27" spans="2:17" x14ac:dyDescent="0.25">
      <c r="B27" t="s">
        <v>101</v>
      </c>
    </row>
    <row r="28" spans="2:17" x14ac:dyDescent="0.25">
      <c r="B28" t="s">
        <v>102</v>
      </c>
    </row>
    <row r="29" spans="2:17" x14ac:dyDescent="0.25">
      <c r="B29" t="s">
        <v>103</v>
      </c>
    </row>
    <row r="30" spans="2:17" x14ac:dyDescent="0.25">
      <c r="B30" s="209" t="s">
        <v>104</v>
      </c>
    </row>
    <row r="31" spans="2:17" x14ac:dyDescent="0.25">
      <c r="B31" s="209" t="s">
        <v>105</v>
      </c>
    </row>
    <row r="32" spans="2:17" x14ac:dyDescent="0.25">
      <c r="B32" s="209" t="s">
        <v>106</v>
      </c>
    </row>
    <row r="33" spans="2:2" x14ac:dyDescent="0.25">
      <c r="B33" s="209" t="s">
        <v>107</v>
      </c>
    </row>
    <row r="34" spans="2:2" x14ac:dyDescent="0.25">
      <c r="B34" s="209" t="s">
        <v>108</v>
      </c>
    </row>
    <row r="35" spans="2:2" x14ac:dyDescent="0.25">
      <c r="B35" s="209" t="s">
        <v>109</v>
      </c>
    </row>
    <row r="36" spans="2:2" x14ac:dyDescent="0.25">
      <c r="B36" s="210" t="s">
        <v>110</v>
      </c>
    </row>
    <row r="37" spans="2:2" x14ac:dyDescent="0.25">
      <c r="B37" s="209" t="s">
        <v>111</v>
      </c>
    </row>
    <row r="38" spans="2:2" x14ac:dyDescent="0.25">
      <c r="B38" s="209" t="s">
        <v>112</v>
      </c>
    </row>
    <row r="39" spans="2:2" x14ac:dyDescent="0.25">
      <c r="B39" s="209" t="s">
        <v>113</v>
      </c>
    </row>
    <row r="40" spans="2:2" x14ac:dyDescent="0.25">
      <c r="B40" s="209" t="s">
        <v>114</v>
      </c>
    </row>
    <row r="41" spans="2:2" x14ac:dyDescent="0.25">
      <c r="B41" s="209" t="s">
        <v>115</v>
      </c>
    </row>
    <row r="42" spans="2:2" x14ac:dyDescent="0.25">
      <c r="B42" s="209" t="s">
        <v>116</v>
      </c>
    </row>
    <row r="43" spans="2:2" x14ac:dyDescent="0.25">
      <c r="B43" s="209" t="s">
        <v>117</v>
      </c>
    </row>
    <row r="44" spans="2:2" x14ac:dyDescent="0.25">
      <c r="B44" s="209"/>
    </row>
    <row r="45" spans="2:2" x14ac:dyDescent="0.25">
      <c r="B45" s="209"/>
    </row>
    <row r="46" spans="2:2" x14ac:dyDescent="0.25">
      <c r="B46" s="209"/>
    </row>
    <row r="47" spans="2:2" x14ac:dyDescent="0.25">
      <c r="B47" s="209"/>
    </row>
    <row r="48" spans="2:2" x14ac:dyDescent="0.25">
      <c r="B48" s="209"/>
    </row>
    <row r="49" spans="2:19" ht="23.25" x14ac:dyDescent="0.35">
      <c r="B49" s="261" t="s">
        <v>229</v>
      </c>
      <c r="C49" s="262"/>
      <c r="D49" s="262"/>
      <c r="E49" s="262"/>
      <c r="F49" s="262"/>
      <c r="G49" s="262"/>
      <c r="H49" s="262"/>
      <c r="I49" s="262"/>
      <c r="J49" s="262"/>
      <c r="K49" s="262"/>
      <c r="L49" s="262"/>
      <c r="M49" s="262"/>
      <c r="N49" s="262"/>
      <c r="O49" s="262"/>
      <c r="P49" s="262"/>
      <c r="Q49" s="262"/>
      <c r="R49" s="262"/>
      <c r="S49" s="262"/>
    </row>
    <row r="50" spans="2:19" x14ac:dyDescent="0.25">
      <c r="B50" s="209"/>
    </row>
    <row r="51" spans="2:19" x14ac:dyDescent="0.25">
      <c r="B51" s="209"/>
    </row>
    <row r="52" spans="2:19" x14ac:dyDescent="0.25">
      <c r="B52" s="209"/>
    </row>
    <row r="53" spans="2:19" x14ac:dyDescent="0.25">
      <c r="B53" s="209"/>
    </row>
    <row r="54" spans="2:19" x14ac:dyDescent="0.25">
      <c r="B54" s="209"/>
    </row>
    <row r="55" spans="2:19" x14ac:dyDescent="0.25">
      <c r="B55" s="209"/>
    </row>
    <row r="56" spans="2:19" x14ac:dyDescent="0.25">
      <c r="B56" s="209"/>
    </row>
    <row r="57" spans="2:19" x14ac:dyDescent="0.25">
      <c r="B57" s="209">
        <v>1</v>
      </c>
    </row>
    <row r="58" spans="2:19" x14ac:dyDescent="0.25">
      <c r="B58" s="209"/>
    </row>
    <row r="59" spans="2:19" x14ac:dyDescent="0.25">
      <c r="B59" s="209"/>
    </row>
    <row r="60" spans="2:19" x14ac:dyDescent="0.25">
      <c r="B60" s="209"/>
    </row>
    <row r="61" spans="2:19" x14ac:dyDescent="0.25">
      <c r="B61" s="209"/>
    </row>
    <row r="62" spans="2:19" x14ac:dyDescent="0.25">
      <c r="B62" s="209"/>
    </row>
    <row r="63" spans="2:19" x14ac:dyDescent="0.25">
      <c r="B63" s="209"/>
    </row>
    <row r="64" spans="2:19" x14ac:dyDescent="0.25">
      <c r="B64" s="209"/>
    </row>
    <row r="65" spans="2:2" x14ac:dyDescent="0.25">
      <c r="B65" s="209"/>
    </row>
    <row r="66" spans="2:2" x14ac:dyDescent="0.25">
      <c r="B66" s="209"/>
    </row>
    <row r="67" spans="2:2" x14ac:dyDescent="0.25">
      <c r="B67" s="209"/>
    </row>
    <row r="68" spans="2:2" x14ac:dyDescent="0.25">
      <c r="B68" s="209"/>
    </row>
    <row r="69" spans="2:2" x14ac:dyDescent="0.25">
      <c r="B69" s="209"/>
    </row>
    <row r="70" spans="2:2" x14ac:dyDescent="0.25">
      <c r="B70" s="209"/>
    </row>
    <row r="71" spans="2:2" x14ac:dyDescent="0.25">
      <c r="B71" s="209"/>
    </row>
    <row r="72" spans="2:2" x14ac:dyDescent="0.25">
      <c r="B72" s="209"/>
    </row>
    <row r="73" spans="2:2" x14ac:dyDescent="0.25">
      <c r="B73" s="209"/>
    </row>
    <row r="74" spans="2:2" x14ac:dyDescent="0.25">
      <c r="B74" s="209"/>
    </row>
    <row r="75" spans="2:2" x14ac:dyDescent="0.25">
      <c r="B75" s="209"/>
    </row>
    <row r="76" spans="2:2" x14ac:dyDescent="0.25">
      <c r="B76" s="209"/>
    </row>
    <row r="77" spans="2:2" x14ac:dyDescent="0.25">
      <c r="B77" s="209"/>
    </row>
    <row r="78" spans="2:2" x14ac:dyDescent="0.25">
      <c r="B78" s="209"/>
    </row>
  </sheetData>
  <mergeCells count="2">
    <mergeCell ref="B8:E8"/>
    <mergeCell ref="B21:G21"/>
  </mergeCells>
  <pageMargins left="0.7" right="0.7" top="0.75" bottom="0.75" header="0.3" footer="0.3"/>
  <pageSetup paperSize="9" orientation="portrait" verticalDpi="0" r:id="rId1"/>
  <customProperties>
    <customPr name="EpmWorksheetKeyString_GU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defaultRowHeight="15" x14ac:dyDescent="0.25"/>
  <sheetData/>
  <pageMargins left="0.7" right="0.7" top="0.75" bottom="0.75" header="0.3" footer="0.3"/>
  <customProperties>
    <customPr name="EpmWorksheetKeyString_GUID" r:id="rId1"/>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H29"/>
  <sheetViews>
    <sheetView workbookViewId="0">
      <selection activeCell="P32" sqref="P32"/>
    </sheetView>
  </sheetViews>
  <sheetFormatPr defaultRowHeight="15" x14ac:dyDescent="0.25"/>
  <sheetData>
    <row r="2" spans="1:8" x14ac:dyDescent="0.25">
      <c r="A2" s="189" t="s">
        <v>138</v>
      </c>
      <c r="C2">
        <v>51.24</v>
      </c>
      <c r="D2" s="179">
        <v>0.21</v>
      </c>
      <c r="E2">
        <f>C2*D2</f>
        <v>10.760400000000001</v>
      </c>
      <c r="F2">
        <f>C2+E2</f>
        <v>62.000399999999999</v>
      </c>
    </row>
    <row r="3" spans="1:8" x14ac:dyDescent="0.25">
      <c r="A3" s="189"/>
      <c r="C3">
        <v>55.45</v>
      </c>
      <c r="D3" s="179">
        <v>0.21</v>
      </c>
      <c r="E3">
        <f>C3*D3</f>
        <v>11.644500000000001</v>
      </c>
      <c r="F3">
        <f>C3+E3</f>
        <v>67.094500000000011</v>
      </c>
      <c r="H3" t="s">
        <v>139</v>
      </c>
    </row>
    <row r="4" spans="1:8" x14ac:dyDescent="0.25">
      <c r="A4" s="245"/>
      <c r="C4">
        <v>39.33</v>
      </c>
      <c r="D4" s="179">
        <v>0.21</v>
      </c>
      <c r="E4">
        <f>C4*D4</f>
        <v>8.2592999999999996</v>
      </c>
      <c r="F4">
        <f>E4+C4</f>
        <v>47.589299999999994</v>
      </c>
      <c r="H4" t="s">
        <v>140</v>
      </c>
    </row>
    <row r="5" spans="1:8" x14ac:dyDescent="0.25">
      <c r="C5">
        <v>51.91</v>
      </c>
      <c r="D5" s="179">
        <v>0.21</v>
      </c>
      <c r="E5">
        <f>C5*D5</f>
        <v>10.9011</v>
      </c>
      <c r="F5">
        <f>C5+E5</f>
        <v>62.811099999999996</v>
      </c>
      <c r="H5" t="s">
        <v>141</v>
      </c>
    </row>
    <row r="6" spans="1:8" x14ac:dyDescent="0.25">
      <c r="C6">
        <v>68.849999999999994</v>
      </c>
      <c r="D6" s="179">
        <v>0.21</v>
      </c>
      <c r="E6">
        <f>C6*D6</f>
        <v>14.458499999999999</v>
      </c>
      <c r="F6">
        <f>C6+E6</f>
        <v>83.308499999999995</v>
      </c>
      <c r="H6" t="s">
        <v>141</v>
      </c>
    </row>
    <row r="7" spans="1:8" x14ac:dyDescent="0.25">
      <c r="F7">
        <f>SUM(F2:F6)</f>
        <v>322.80379999999997</v>
      </c>
    </row>
    <row r="8" spans="1:8" x14ac:dyDescent="0.25">
      <c r="F8">
        <f>F7/5</f>
        <v>64.560759999999988</v>
      </c>
    </row>
    <row r="11" spans="1:8" x14ac:dyDescent="0.25">
      <c r="A11" t="s">
        <v>143</v>
      </c>
      <c r="C11">
        <v>34</v>
      </c>
      <c r="H11" t="s">
        <v>144</v>
      </c>
    </row>
    <row r="12" spans="1:8" x14ac:dyDescent="0.25">
      <c r="C12">
        <v>39.950000000000003</v>
      </c>
      <c r="H12" t="s">
        <v>145</v>
      </c>
    </row>
    <row r="13" spans="1:8" x14ac:dyDescent="0.25">
      <c r="C13">
        <v>49.5</v>
      </c>
      <c r="H13" t="s">
        <v>146</v>
      </c>
    </row>
    <row r="14" spans="1:8" x14ac:dyDescent="0.25">
      <c r="C14">
        <f>SUM(C11:C13)</f>
        <v>123.45</v>
      </c>
    </row>
    <row r="15" spans="1:8" x14ac:dyDescent="0.25">
      <c r="C15">
        <f>C14/3</f>
        <v>41.15</v>
      </c>
    </row>
    <row r="17" spans="1:8" x14ac:dyDescent="0.25">
      <c r="A17" t="s">
        <v>147</v>
      </c>
      <c r="C17">
        <v>34.85</v>
      </c>
      <c r="H17" t="s">
        <v>148</v>
      </c>
    </row>
    <row r="18" spans="1:8" x14ac:dyDescent="0.25">
      <c r="C18">
        <v>38.47</v>
      </c>
      <c r="H18" t="s">
        <v>149</v>
      </c>
    </row>
    <row r="19" spans="1:8" x14ac:dyDescent="0.25">
      <c r="C19">
        <v>32.380000000000003</v>
      </c>
      <c r="H19" t="s">
        <v>150</v>
      </c>
    </row>
    <row r="20" spans="1:8" x14ac:dyDescent="0.25">
      <c r="C20">
        <f>SUM(C17:C19)</f>
        <v>105.69999999999999</v>
      </c>
    </row>
    <row r="21" spans="1:8" x14ac:dyDescent="0.25">
      <c r="C21">
        <f>C20/3</f>
        <v>35.233333333333327</v>
      </c>
    </row>
    <row r="24" spans="1:8" x14ac:dyDescent="0.25">
      <c r="A24" t="s">
        <v>151</v>
      </c>
      <c r="C24">
        <v>22.61</v>
      </c>
      <c r="D24" s="179">
        <v>0.21</v>
      </c>
      <c r="E24">
        <f>C24*D24</f>
        <v>4.7481</v>
      </c>
      <c r="F24">
        <f>E24+C24</f>
        <v>27.3581</v>
      </c>
      <c r="H24" t="s">
        <v>152</v>
      </c>
    </row>
    <row r="25" spans="1:8" x14ac:dyDescent="0.25">
      <c r="B25" t="s">
        <v>154</v>
      </c>
      <c r="C25">
        <v>25.25</v>
      </c>
      <c r="D25" s="179">
        <v>0.21</v>
      </c>
      <c r="E25">
        <f>C25*D25</f>
        <v>5.3025000000000002</v>
      </c>
      <c r="F25">
        <f>C25+E25</f>
        <v>30.552500000000002</v>
      </c>
      <c r="H25" t="s">
        <v>153</v>
      </c>
    </row>
    <row r="26" spans="1:8" x14ac:dyDescent="0.25">
      <c r="C26">
        <v>9.86</v>
      </c>
      <c r="D26" s="179">
        <v>0.21</v>
      </c>
      <c r="E26">
        <f>C26*D26</f>
        <v>2.0705999999999998</v>
      </c>
      <c r="F26">
        <f>C26+E26</f>
        <v>11.930599999999998</v>
      </c>
      <c r="H26" t="s">
        <v>155</v>
      </c>
    </row>
    <row r="27" spans="1:8" x14ac:dyDescent="0.25">
      <c r="B27" t="s">
        <v>156</v>
      </c>
      <c r="C27">
        <v>13.78</v>
      </c>
      <c r="E27">
        <f>C27*D26</f>
        <v>2.8937999999999997</v>
      </c>
      <c r="F27">
        <f>C27+E27</f>
        <v>16.6738</v>
      </c>
      <c r="H27" t="s">
        <v>155</v>
      </c>
    </row>
    <row r="28" spans="1:8" x14ac:dyDescent="0.25">
      <c r="F28">
        <f>SUM(F24:F27)</f>
        <v>86.515000000000001</v>
      </c>
    </row>
    <row r="29" spans="1:8" x14ac:dyDescent="0.25">
      <c r="F29">
        <f>F28/5</f>
        <v>17.303000000000001</v>
      </c>
    </row>
  </sheetData>
  <pageMargins left="0.7" right="0.7" top="0.75" bottom="0.75" header="0.3" footer="0.3"/>
  <customProperties>
    <customPr name="EpmWorksheetKeyString_GUID" r:id="rId1"/>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U121"/>
  <sheetViews>
    <sheetView topLeftCell="A10" workbookViewId="0">
      <selection activeCell="B49" sqref="B49"/>
    </sheetView>
  </sheetViews>
  <sheetFormatPr defaultRowHeight="15" x14ac:dyDescent="0.25"/>
  <cols>
    <col min="1" max="1" width="42.42578125" customWidth="1"/>
    <col min="2" max="2" width="22.42578125" customWidth="1"/>
  </cols>
  <sheetData>
    <row r="2" spans="1:13" x14ac:dyDescent="0.25">
      <c r="A2" t="s">
        <v>162</v>
      </c>
      <c r="B2" s="163" t="s">
        <v>159</v>
      </c>
      <c r="C2" t="s">
        <v>160</v>
      </c>
      <c r="I2" t="s">
        <v>161</v>
      </c>
      <c r="M2" t="s">
        <v>166</v>
      </c>
    </row>
    <row r="3" spans="1:13" x14ac:dyDescent="0.25">
      <c r="B3" s="163"/>
    </row>
    <row r="4" spans="1:13" x14ac:dyDescent="0.25">
      <c r="A4" t="s">
        <v>163</v>
      </c>
      <c r="B4" s="163" t="s">
        <v>164</v>
      </c>
      <c r="C4" t="s">
        <v>165</v>
      </c>
      <c r="L4" t="s">
        <v>166</v>
      </c>
    </row>
    <row r="5" spans="1:13" ht="12.6" customHeight="1" x14ac:dyDescent="0.25">
      <c r="B5" s="163"/>
    </row>
    <row r="6" spans="1:13" x14ac:dyDescent="0.25">
      <c r="A6" t="s">
        <v>163</v>
      </c>
      <c r="B6" s="163" t="s">
        <v>167</v>
      </c>
      <c r="C6" t="s">
        <v>168</v>
      </c>
      <c r="L6" t="s">
        <v>169</v>
      </c>
    </row>
    <row r="7" spans="1:13" x14ac:dyDescent="0.25">
      <c r="A7" t="s">
        <v>170</v>
      </c>
      <c r="B7" s="163" t="s">
        <v>335</v>
      </c>
      <c r="C7" t="s">
        <v>171</v>
      </c>
    </row>
    <row r="8" spans="1:13" x14ac:dyDescent="0.25">
      <c r="A8" t="s">
        <v>172</v>
      </c>
      <c r="B8" s="163" t="s">
        <v>173</v>
      </c>
      <c r="C8" t="s">
        <v>174</v>
      </c>
    </row>
    <row r="9" spans="1:13" x14ac:dyDescent="0.25">
      <c r="A9" s="465" t="s">
        <v>331</v>
      </c>
      <c r="B9" s="163" t="s">
        <v>183</v>
      </c>
      <c r="C9" t="s">
        <v>330</v>
      </c>
    </row>
    <row r="10" spans="1:13" x14ac:dyDescent="0.25">
      <c r="A10" s="465" t="s">
        <v>333</v>
      </c>
      <c r="B10" s="163" t="s">
        <v>334</v>
      </c>
      <c r="C10" t="s">
        <v>332</v>
      </c>
    </row>
    <row r="11" spans="1:13" x14ac:dyDescent="0.25">
      <c r="A11" s="465" t="s">
        <v>339</v>
      </c>
      <c r="B11" s="284" t="s">
        <v>336</v>
      </c>
      <c r="C11" t="s">
        <v>337</v>
      </c>
    </row>
    <row r="12" spans="1:13" x14ac:dyDescent="0.25">
      <c r="A12" t="s">
        <v>339</v>
      </c>
      <c r="B12" s="466">
        <v>463.61</v>
      </c>
      <c r="C12" t="s">
        <v>338</v>
      </c>
    </row>
    <row r="13" spans="1:13" x14ac:dyDescent="0.25">
      <c r="A13" t="s">
        <v>340</v>
      </c>
      <c r="B13" s="163">
        <v>439</v>
      </c>
    </row>
    <row r="14" spans="1:13" x14ac:dyDescent="0.25">
      <c r="A14" s="465" t="s">
        <v>341</v>
      </c>
      <c r="B14" s="163">
        <v>546</v>
      </c>
    </row>
    <row r="15" spans="1:13" x14ac:dyDescent="0.25">
      <c r="A15" t="s">
        <v>342</v>
      </c>
      <c r="B15" s="163">
        <v>539</v>
      </c>
      <c r="C15" t="s">
        <v>175</v>
      </c>
      <c r="D15">
        <v>474.96</v>
      </c>
    </row>
    <row r="18" spans="1:16" x14ac:dyDescent="0.25">
      <c r="B18" t="s">
        <v>177</v>
      </c>
      <c r="C18" t="s">
        <v>176</v>
      </c>
    </row>
    <row r="19" spans="1:16" x14ac:dyDescent="0.25">
      <c r="B19" t="s">
        <v>180</v>
      </c>
      <c r="C19" t="s">
        <v>179</v>
      </c>
    </row>
    <row r="20" spans="1:16" x14ac:dyDescent="0.25">
      <c r="B20" t="s">
        <v>178</v>
      </c>
      <c r="C20" t="s">
        <v>179</v>
      </c>
    </row>
    <row r="21" spans="1:16" x14ac:dyDescent="0.25">
      <c r="B21" t="s">
        <v>182</v>
      </c>
      <c r="C21" t="s">
        <v>181</v>
      </c>
    </row>
    <row r="22" spans="1:16" x14ac:dyDescent="0.25">
      <c r="A22" t="s">
        <v>184</v>
      </c>
      <c r="B22" t="s">
        <v>183</v>
      </c>
    </row>
    <row r="23" spans="1:16" x14ac:dyDescent="0.25">
      <c r="A23" t="s">
        <v>186</v>
      </c>
      <c r="B23">
        <v>401.02</v>
      </c>
      <c r="C23" t="s">
        <v>185</v>
      </c>
    </row>
    <row r="24" spans="1:16" x14ac:dyDescent="0.25">
      <c r="B24">
        <v>410.77</v>
      </c>
      <c r="C24" t="s">
        <v>187</v>
      </c>
    </row>
    <row r="28" spans="1:16" x14ac:dyDescent="0.25">
      <c r="B28" s="258">
        <v>470.32</v>
      </c>
      <c r="C28" t="s">
        <v>188</v>
      </c>
    </row>
    <row r="29" spans="1:16" x14ac:dyDescent="0.25">
      <c r="B29">
        <f>B28*0.05</f>
        <v>23.516000000000002</v>
      </c>
      <c r="C29">
        <f>B28+B29</f>
        <v>493.83600000000001</v>
      </c>
    </row>
    <row r="30" spans="1:16" x14ac:dyDescent="0.25">
      <c r="P30" s="257" t="s">
        <v>197</v>
      </c>
    </row>
    <row r="31" spans="1:16" x14ac:dyDescent="0.25">
      <c r="A31" t="s">
        <v>191</v>
      </c>
    </row>
    <row r="32" spans="1:16" x14ac:dyDescent="0.25">
      <c r="A32" t="s">
        <v>189</v>
      </c>
      <c r="B32">
        <v>30.25</v>
      </c>
      <c r="C32" s="260" t="s">
        <v>192</v>
      </c>
    </row>
    <row r="33" spans="1:4" x14ac:dyDescent="0.25">
      <c r="A33" t="s">
        <v>190</v>
      </c>
      <c r="B33">
        <v>79.900000000000006</v>
      </c>
    </row>
    <row r="34" spans="1:4" x14ac:dyDescent="0.25">
      <c r="A34" t="s">
        <v>193</v>
      </c>
    </row>
    <row r="35" spans="1:4" x14ac:dyDescent="0.25">
      <c r="A35" t="s">
        <v>194</v>
      </c>
      <c r="B35">
        <v>30.25</v>
      </c>
      <c r="C35" t="s">
        <v>195</v>
      </c>
    </row>
    <row r="36" spans="1:4" x14ac:dyDescent="0.25">
      <c r="B36">
        <v>114.95</v>
      </c>
      <c r="C36" t="s">
        <v>195</v>
      </c>
    </row>
    <row r="37" spans="1:4" x14ac:dyDescent="0.25">
      <c r="A37" t="s">
        <v>191</v>
      </c>
      <c r="B37">
        <v>30</v>
      </c>
      <c r="C37" t="s">
        <v>196</v>
      </c>
    </row>
    <row r="38" spans="1:4" x14ac:dyDescent="0.25">
      <c r="A38" t="s">
        <v>200</v>
      </c>
      <c r="B38">
        <v>20.25</v>
      </c>
      <c r="C38" t="s">
        <v>198</v>
      </c>
    </row>
    <row r="39" spans="1:4" x14ac:dyDescent="0.25">
      <c r="A39" t="s">
        <v>191</v>
      </c>
      <c r="B39">
        <v>205.7</v>
      </c>
      <c r="C39" t="s">
        <v>199</v>
      </c>
    </row>
    <row r="40" spans="1:4" x14ac:dyDescent="0.25">
      <c r="A40" t="s">
        <v>203</v>
      </c>
      <c r="B40">
        <v>28</v>
      </c>
      <c r="C40" t="s">
        <v>201</v>
      </c>
    </row>
    <row r="41" spans="1:4" x14ac:dyDescent="0.25">
      <c r="B41">
        <v>150</v>
      </c>
      <c r="C41" t="s">
        <v>202</v>
      </c>
    </row>
    <row r="44" spans="1:4" x14ac:dyDescent="0.25">
      <c r="B44">
        <f>B39+(B33+B36)+B41</f>
        <v>550.54999999999995</v>
      </c>
      <c r="C44">
        <f>B44/3</f>
        <v>183.51666666666665</v>
      </c>
    </row>
    <row r="47" spans="1:4" x14ac:dyDescent="0.25">
      <c r="D47">
        <f>114.95+30.25</f>
        <v>145.19999999999999</v>
      </c>
    </row>
    <row r="50" spans="1:15" x14ac:dyDescent="0.25">
      <c r="A50" t="s">
        <v>151</v>
      </c>
    </row>
    <row r="51" spans="1:15" x14ac:dyDescent="0.25">
      <c r="B51">
        <v>365</v>
      </c>
      <c r="C51">
        <v>0.03</v>
      </c>
      <c r="D51">
        <f>B51*C51</f>
        <v>10.95</v>
      </c>
      <c r="E51" t="s">
        <v>205</v>
      </c>
      <c r="F51">
        <f>D51*2</f>
        <v>21.9</v>
      </c>
    </row>
    <row r="52" spans="1:15" x14ac:dyDescent="0.25">
      <c r="A52" t="s">
        <v>207</v>
      </c>
      <c r="B52">
        <v>1000</v>
      </c>
      <c r="C52" t="s">
        <v>206</v>
      </c>
      <c r="F52">
        <v>29.79</v>
      </c>
    </row>
    <row r="53" spans="1:15" x14ac:dyDescent="0.25">
      <c r="A53" t="s">
        <v>211</v>
      </c>
      <c r="F53">
        <v>17.95</v>
      </c>
      <c r="G53" t="s">
        <v>208</v>
      </c>
    </row>
    <row r="54" spans="1:15" x14ac:dyDescent="0.25">
      <c r="A54" t="s">
        <v>212</v>
      </c>
      <c r="F54">
        <v>47.61</v>
      </c>
      <c r="G54" t="s">
        <v>209</v>
      </c>
      <c r="O54" t="s">
        <v>210</v>
      </c>
    </row>
    <row r="55" spans="1:15" x14ac:dyDescent="0.25">
      <c r="A55" t="s">
        <v>214</v>
      </c>
      <c r="F55">
        <v>75.900000000000006</v>
      </c>
      <c r="G55" t="s">
        <v>213</v>
      </c>
    </row>
    <row r="56" spans="1:15" x14ac:dyDescent="0.25">
      <c r="A56" t="s">
        <v>215</v>
      </c>
      <c r="F56">
        <v>29.39</v>
      </c>
    </row>
    <row r="57" spans="1:15" x14ac:dyDescent="0.25">
      <c r="A57" t="s">
        <v>216</v>
      </c>
      <c r="F57">
        <v>1.2</v>
      </c>
      <c r="G57" t="s">
        <v>219</v>
      </c>
    </row>
    <row r="58" spans="1:15" x14ac:dyDescent="0.25">
      <c r="A58" t="s">
        <v>217</v>
      </c>
      <c r="F58">
        <v>199</v>
      </c>
      <c r="G58" t="s">
        <v>219</v>
      </c>
    </row>
    <row r="59" spans="1:15" x14ac:dyDescent="0.25">
      <c r="A59" t="s">
        <v>220</v>
      </c>
      <c r="D59" t="s">
        <v>218</v>
      </c>
      <c r="F59">
        <v>10.89</v>
      </c>
      <c r="G59" t="s">
        <v>219</v>
      </c>
    </row>
    <row r="60" spans="1:15" x14ac:dyDescent="0.25">
      <c r="D60">
        <v>6</v>
      </c>
      <c r="E60">
        <v>4</v>
      </c>
      <c r="F60">
        <f>D60*E60</f>
        <v>24</v>
      </c>
      <c r="G60" t="s">
        <v>221</v>
      </c>
    </row>
    <row r="61" spans="1:15" x14ac:dyDescent="0.25">
      <c r="A61" t="s">
        <v>222</v>
      </c>
      <c r="D61">
        <v>6</v>
      </c>
      <c r="E61">
        <v>1.89</v>
      </c>
      <c r="F61">
        <f>2.95*6</f>
        <v>17.700000000000003</v>
      </c>
    </row>
    <row r="62" spans="1:15" x14ac:dyDescent="0.25">
      <c r="D62">
        <v>100</v>
      </c>
      <c r="E62">
        <v>0.5</v>
      </c>
      <c r="F62">
        <f>D62*E62</f>
        <v>50</v>
      </c>
      <c r="G62" t="s">
        <v>223</v>
      </c>
    </row>
    <row r="66" spans="1:9" x14ac:dyDescent="0.25">
      <c r="F66">
        <f>(F52/2)</f>
        <v>14.895</v>
      </c>
      <c r="H66">
        <f>F74*2</f>
        <v>343.55</v>
      </c>
      <c r="I66" t="s">
        <v>224</v>
      </c>
    </row>
    <row r="67" spans="1:9" x14ac:dyDescent="0.25">
      <c r="F67">
        <v>22.5</v>
      </c>
    </row>
    <row r="68" spans="1:9" x14ac:dyDescent="0.25">
      <c r="F68">
        <f>F56</f>
        <v>29.39</v>
      </c>
      <c r="H68">
        <f>F76*2</f>
        <v>377.55</v>
      </c>
    </row>
    <row r="69" spans="1:9" x14ac:dyDescent="0.25">
      <c r="F69">
        <f>F57*2</f>
        <v>2.4</v>
      </c>
    </row>
    <row r="70" spans="1:9" x14ac:dyDescent="0.25">
      <c r="F70">
        <f>F59</f>
        <v>10.89</v>
      </c>
    </row>
    <row r="71" spans="1:9" x14ac:dyDescent="0.25">
      <c r="F71">
        <f>F60</f>
        <v>24</v>
      </c>
    </row>
    <row r="72" spans="1:9" x14ac:dyDescent="0.25">
      <c r="F72">
        <f>F61</f>
        <v>17.700000000000003</v>
      </c>
    </row>
    <row r="73" spans="1:9" x14ac:dyDescent="0.25">
      <c r="F73">
        <f>F62</f>
        <v>50</v>
      </c>
    </row>
    <row r="74" spans="1:9" x14ac:dyDescent="0.25">
      <c r="A74" t="s">
        <v>225</v>
      </c>
      <c r="F74">
        <f>SUM(F66:F73)</f>
        <v>171.77500000000001</v>
      </c>
    </row>
    <row r="75" spans="1:9" x14ac:dyDescent="0.25">
      <c r="F75">
        <f>17</f>
        <v>17</v>
      </c>
    </row>
    <row r="76" spans="1:9" x14ac:dyDescent="0.25">
      <c r="F76">
        <f>F74+F75</f>
        <v>188.77500000000001</v>
      </c>
    </row>
    <row r="99" spans="1:21" x14ac:dyDescent="0.25">
      <c r="K99" t="s">
        <v>235</v>
      </c>
    </row>
    <row r="105" spans="1:21" x14ac:dyDescent="0.25">
      <c r="A105">
        <v>2500</v>
      </c>
    </row>
    <row r="106" spans="1:21" x14ac:dyDescent="0.25">
      <c r="A106">
        <v>5000</v>
      </c>
      <c r="B106">
        <v>142.5</v>
      </c>
    </row>
    <row r="107" spans="1:21" x14ac:dyDescent="0.25">
      <c r="A107" s="265"/>
      <c r="B107">
        <f>B106*2</f>
        <v>285</v>
      </c>
    </row>
    <row r="110" spans="1:21" x14ac:dyDescent="0.25">
      <c r="B110">
        <f>B107*1.94</f>
        <v>552.9</v>
      </c>
    </row>
    <row r="111" spans="1:21" x14ac:dyDescent="0.25">
      <c r="B111">
        <f>B107*1.94</f>
        <v>552.9</v>
      </c>
    </row>
    <row r="112" spans="1:21" x14ac:dyDescent="0.25">
      <c r="U112">
        <f>492.8+276.59</f>
        <v>769.39</v>
      </c>
    </row>
    <row r="113" spans="2:3" x14ac:dyDescent="0.25">
      <c r="B113" t="s">
        <v>236</v>
      </c>
      <c r="C113">
        <f>10</f>
        <v>10</v>
      </c>
    </row>
    <row r="115" spans="2:3" x14ac:dyDescent="0.25">
      <c r="C115">
        <f>B110+B111</f>
        <v>1105.8</v>
      </c>
    </row>
    <row r="119" spans="2:3" x14ac:dyDescent="0.25">
      <c r="B119">
        <f>235*2</f>
        <v>470</v>
      </c>
    </row>
    <row r="120" spans="2:3" x14ac:dyDescent="0.25">
      <c r="B120">
        <f>142.5*2</f>
        <v>285</v>
      </c>
    </row>
    <row r="121" spans="2:3" x14ac:dyDescent="0.25">
      <c r="B121">
        <f>B119+B120</f>
        <v>755</v>
      </c>
    </row>
  </sheetData>
  <hyperlinks>
    <hyperlink ref="C32" r:id="rId1" xr:uid="{00000000-0004-0000-1400-000000000000}"/>
  </hyperlinks>
  <pageMargins left="0.7" right="0.7" top="0.75" bottom="0.75" header="0.3" footer="0.3"/>
  <pageSetup paperSize="9" orientation="portrait" verticalDpi="0" r:id="rId2"/>
  <customProperties>
    <customPr name="EpmWorksheetKeyString_GUID" r:id="rId3"/>
  </customProperties>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C2:F23"/>
  <sheetViews>
    <sheetView workbookViewId="0">
      <selection activeCell="E17" sqref="E17"/>
    </sheetView>
  </sheetViews>
  <sheetFormatPr defaultRowHeight="15" x14ac:dyDescent="0.25"/>
  <cols>
    <col min="3" max="3" width="10.85546875" customWidth="1"/>
    <col min="5" max="5" width="14.140625" bestFit="1" customWidth="1"/>
  </cols>
  <sheetData>
    <row r="2" spans="3:5" x14ac:dyDescent="0.25">
      <c r="C2" s="19">
        <v>33980.04</v>
      </c>
      <c r="D2">
        <v>31</v>
      </c>
      <c r="E2" s="616">
        <f>C2*D2</f>
        <v>1053381.24</v>
      </c>
    </row>
    <row r="3" spans="3:5" x14ac:dyDescent="0.25">
      <c r="C3" s="19">
        <v>29299.08</v>
      </c>
      <c r="D3">
        <v>2</v>
      </c>
      <c r="E3" s="616">
        <f>C3*D3</f>
        <v>58598.16</v>
      </c>
    </row>
    <row r="4" spans="3:5" x14ac:dyDescent="0.25">
      <c r="C4">
        <v>20221.12</v>
      </c>
      <c r="E4" s="616">
        <v>20221.12</v>
      </c>
    </row>
    <row r="5" spans="3:5" x14ac:dyDescent="0.25">
      <c r="C5" s="19">
        <v>22765.439999999999</v>
      </c>
      <c r="E5" s="616">
        <v>22765.439999999999</v>
      </c>
    </row>
    <row r="6" spans="3:5" x14ac:dyDescent="0.25">
      <c r="C6">
        <v>37239.96</v>
      </c>
      <c r="E6" s="616">
        <v>37239.96</v>
      </c>
    </row>
    <row r="7" spans="3:5" x14ac:dyDescent="0.25">
      <c r="C7" s="19">
        <v>24149.52</v>
      </c>
      <c r="D7">
        <v>2</v>
      </c>
      <c r="E7" s="616">
        <f>C7*D7</f>
        <v>48299.040000000001</v>
      </c>
    </row>
    <row r="8" spans="3:5" x14ac:dyDescent="0.25">
      <c r="C8">
        <v>35002.559999999998</v>
      </c>
      <c r="E8" s="616">
        <v>35002.559999999998</v>
      </c>
    </row>
    <row r="9" spans="3:5" x14ac:dyDescent="0.25">
      <c r="C9">
        <v>27431.16</v>
      </c>
      <c r="E9" s="616">
        <v>27431.16</v>
      </c>
    </row>
    <row r="10" spans="3:5" x14ac:dyDescent="0.25">
      <c r="C10" s="19">
        <v>45328.68</v>
      </c>
      <c r="E10" s="616">
        <v>45328.68</v>
      </c>
    </row>
    <row r="11" spans="3:5" x14ac:dyDescent="0.25">
      <c r="C11">
        <v>35061.360000000001</v>
      </c>
      <c r="E11" s="616">
        <v>35061.360000000001</v>
      </c>
    </row>
    <row r="12" spans="3:5" x14ac:dyDescent="0.25">
      <c r="C12">
        <v>49151.040000000001</v>
      </c>
      <c r="E12" s="616">
        <v>49151.040000000001</v>
      </c>
    </row>
    <row r="13" spans="3:5" x14ac:dyDescent="0.25">
      <c r="C13">
        <v>26010.48</v>
      </c>
      <c r="E13" s="616">
        <v>26010.48</v>
      </c>
    </row>
    <row r="14" spans="3:5" x14ac:dyDescent="0.25">
      <c r="C14" s="19">
        <v>35400.720000000001</v>
      </c>
      <c r="D14">
        <v>5</v>
      </c>
      <c r="E14" s="616">
        <f>C14*D14</f>
        <v>177003.6</v>
      </c>
    </row>
    <row r="15" spans="3:5" x14ac:dyDescent="0.25">
      <c r="C15">
        <v>26010.48</v>
      </c>
      <c r="E15" s="616">
        <v>26010.48</v>
      </c>
    </row>
    <row r="16" spans="3:5" x14ac:dyDescent="0.25">
      <c r="C16">
        <v>44235.96</v>
      </c>
      <c r="E16" s="616">
        <v>44235.96</v>
      </c>
    </row>
    <row r="17" spans="3:6" x14ac:dyDescent="0.25">
      <c r="E17" s="202">
        <f>SUM(E2:E16)</f>
        <v>1705740.28</v>
      </c>
    </row>
    <row r="18" spans="3:6" x14ac:dyDescent="0.25">
      <c r="C18">
        <v>5707.68</v>
      </c>
      <c r="E18">
        <f>C18*1</f>
        <v>5707.68</v>
      </c>
    </row>
    <row r="19" spans="3:6" x14ac:dyDescent="0.25">
      <c r="E19" s="202">
        <f>SUM(E17:E18)</f>
        <v>1711447.96</v>
      </c>
    </row>
    <row r="22" spans="3:6" x14ac:dyDescent="0.25">
      <c r="E22" s="20">
        <v>1950297.701527114</v>
      </c>
    </row>
    <row r="23" spans="3:6" x14ac:dyDescent="0.25">
      <c r="E23" s="20">
        <f>E22-E19</f>
        <v>238849.74152711406</v>
      </c>
      <c r="F23" t="s">
        <v>417</v>
      </c>
    </row>
  </sheetData>
  <pageMargins left="0.7" right="0.7" top="0.75" bottom="0.75" header="0.3" footer="0.3"/>
  <pageSetup paperSize="9" orientation="portrait" verticalDpi="0" r:id="rId1"/>
  <customProperties>
    <customPr name="EpmWorksheetKeyString_GU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3:L20"/>
  <sheetViews>
    <sheetView workbookViewId="0">
      <selection activeCell="B8" sqref="B8"/>
    </sheetView>
  </sheetViews>
  <sheetFormatPr defaultRowHeight="15" x14ac:dyDescent="0.25"/>
  <cols>
    <col min="2" max="2" width="97.28515625" bestFit="1" customWidth="1"/>
    <col min="10" max="10" width="12.7109375" bestFit="1" customWidth="1"/>
  </cols>
  <sheetData>
    <row r="3" spans="2:10" x14ac:dyDescent="0.25">
      <c r="B3" s="861" t="s">
        <v>475</v>
      </c>
      <c r="C3" s="862"/>
      <c r="D3" s="863"/>
      <c r="E3" s="864"/>
      <c r="F3" s="865"/>
      <c r="G3" s="866"/>
      <c r="H3" s="867"/>
      <c r="I3" s="868"/>
      <c r="J3" s="869">
        <v>3000</v>
      </c>
    </row>
    <row r="4" spans="2:10" x14ac:dyDescent="0.25">
      <c r="B4" s="870" t="s">
        <v>476</v>
      </c>
      <c r="C4" s="862"/>
      <c r="D4" s="863"/>
      <c r="E4" s="864"/>
      <c r="F4" s="865"/>
      <c r="G4" s="866"/>
      <c r="H4" s="867"/>
      <c r="I4" s="868"/>
      <c r="J4" s="869">
        <v>1500</v>
      </c>
    </row>
    <row r="5" spans="2:10" x14ac:dyDescent="0.25">
      <c r="B5" s="870" t="s">
        <v>477</v>
      </c>
      <c r="C5" s="862"/>
      <c r="D5" s="863"/>
      <c r="E5" s="864"/>
      <c r="F5" s="865"/>
      <c r="G5" s="866"/>
      <c r="H5" s="867"/>
      <c r="I5" s="868"/>
      <c r="J5" s="869">
        <v>10000</v>
      </c>
    </row>
    <row r="6" spans="2:10" x14ac:dyDescent="0.25">
      <c r="B6" s="870" t="s">
        <v>478</v>
      </c>
      <c r="C6" s="862"/>
      <c r="D6" s="863"/>
      <c r="E6" s="864"/>
      <c r="F6" s="865"/>
      <c r="G6" s="866"/>
      <c r="H6" s="867"/>
      <c r="I6" s="868"/>
      <c r="J6" s="869">
        <v>1000</v>
      </c>
    </row>
    <row r="7" spans="2:10" x14ac:dyDescent="0.25">
      <c r="B7" s="870" t="s">
        <v>479</v>
      </c>
      <c r="C7" s="862"/>
      <c r="D7" s="863"/>
      <c r="E7" s="864"/>
      <c r="F7" s="865"/>
      <c r="G7" s="866"/>
      <c r="H7" s="867"/>
      <c r="I7" s="868"/>
      <c r="J7" s="872">
        <f>F8*H8*12</f>
        <v>1800</v>
      </c>
    </row>
    <row r="8" spans="2:10" x14ac:dyDescent="0.25">
      <c r="B8" s="870" t="s">
        <v>480</v>
      </c>
      <c r="C8" s="862"/>
      <c r="D8" s="863"/>
      <c r="E8" s="864"/>
      <c r="F8" s="871">
        <v>50</v>
      </c>
      <c r="G8" s="866"/>
      <c r="H8" s="867">
        <v>3</v>
      </c>
      <c r="I8" s="868" t="s">
        <v>481</v>
      </c>
      <c r="J8" s="869">
        <v>3000</v>
      </c>
    </row>
    <row r="9" spans="2:10" x14ac:dyDescent="0.25">
      <c r="B9" s="870" t="s">
        <v>482</v>
      </c>
      <c r="C9" s="862"/>
      <c r="D9" s="863"/>
      <c r="E9" s="864"/>
      <c r="F9" s="865"/>
      <c r="G9" s="866"/>
      <c r="H9" s="867"/>
      <c r="I9" s="868"/>
      <c r="J9" s="869">
        <v>3000</v>
      </c>
    </row>
    <row r="10" spans="2:10" x14ac:dyDescent="0.25">
      <c r="B10" s="870" t="s">
        <v>483</v>
      </c>
      <c r="C10" s="862"/>
      <c r="D10" s="863"/>
      <c r="E10" s="864"/>
      <c r="F10" s="865"/>
      <c r="G10" s="866"/>
      <c r="H10" s="867"/>
      <c r="I10" s="868"/>
      <c r="J10" s="872">
        <f>F11*H11</f>
        <v>2400</v>
      </c>
    </row>
    <row r="11" spans="2:10" x14ac:dyDescent="0.25">
      <c r="B11" s="870" t="s">
        <v>484</v>
      </c>
      <c r="C11" s="862"/>
      <c r="D11" s="863"/>
      <c r="E11" s="864"/>
      <c r="F11" s="873">
        <v>12</v>
      </c>
      <c r="G11" s="866"/>
      <c r="H11" s="867">
        <v>200</v>
      </c>
      <c r="I11" s="874" t="s">
        <v>485</v>
      </c>
      <c r="J11" s="869"/>
    </row>
    <row r="12" spans="2:10" x14ac:dyDescent="0.25">
      <c r="B12" s="875"/>
      <c r="C12" s="862"/>
      <c r="D12" s="863"/>
      <c r="E12" s="864"/>
      <c r="F12" s="865"/>
      <c r="G12" s="866"/>
      <c r="H12" s="867"/>
      <c r="I12" s="868"/>
    </row>
    <row r="15" spans="2:10" x14ac:dyDescent="0.25">
      <c r="J15">
        <v>18060</v>
      </c>
    </row>
    <row r="16" spans="2:10" x14ac:dyDescent="0.25">
      <c r="B16" t="s">
        <v>486</v>
      </c>
      <c r="F16">
        <v>43</v>
      </c>
      <c r="H16">
        <v>420</v>
      </c>
      <c r="I16" t="s">
        <v>487</v>
      </c>
      <c r="J16">
        <v>4300</v>
      </c>
    </row>
    <row r="17" spans="2:12" x14ac:dyDescent="0.25">
      <c r="B17" t="s">
        <v>488</v>
      </c>
      <c r="F17">
        <v>43</v>
      </c>
      <c r="H17">
        <v>100</v>
      </c>
      <c r="I17" t="s">
        <v>487</v>
      </c>
      <c r="J17">
        <v>19866</v>
      </c>
      <c r="L17">
        <f>F17*H17</f>
        <v>4300</v>
      </c>
    </row>
    <row r="18" spans="2:12" x14ac:dyDescent="0.25">
      <c r="B18" t="s">
        <v>489</v>
      </c>
      <c r="F18">
        <v>473</v>
      </c>
      <c r="H18">
        <v>42</v>
      </c>
      <c r="I18" t="s">
        <v>490</v>
      </c>
      <c r="J18">
        <v>6450</v>
      </c>
      <c r="L18">
        <f>L17/2</f>
        <v>2150</v>
      </c>
    </row>
    <row r="19" spans="2:12" x14ac:dyDescent="0.25">
      <c r="B19" t="s">
        <v>491</v>
      </c>
      <c r="F19">
        <v>43</v>
      </c>
      <c r="H19">
        <v>150</v>
      </c>
      <c r="I19" t="s">
        <v>487</v>
      </c>
      <c r="J19">
        <v>6000</v>
      </c>
    </row>
    <row r="20" spans="2:12" x14ac:dyDescent="0.25">
      <c r="B20" t="s">
        <v>261</v>
      </c>
    </row>
  </sheetData>
  <pageMargins left="0.7" right="0.7" top="0.75" bottom="0.75" header="0.3" footer="0.3"/>
  <customProperties>
    <customPr name="EpmWorksheetKeyString_GUID" r:id="rId1"/>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heetViews>
  <sheetFormatPr defaultRowHeight="15" x14ac:dyDescent="0.25"/>
  <sheetData/>
  <pageMargins left="0.7" right="0.7" top="0.75" bottom="0.75" header="0.3" footer="0.3"/>
  <customProperties>
    <customPr name="EpmWorksheetKeyString_GUID" r:id="rId1"/>
  </customPropertie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A1:AH138"/>
  <sheetViews>
    <sheetView topLeftCell="A40" zoomScaleNormal="100" workbookViewId="0">
      <selection activeCell="N58" sqref="N58"/>
    </sheetView>
  </sheetViews>
  <sheetFormatPr defaultColWidth="10.85546875" defaultRowHeight="15" x14ac:dyDescent="0.25"/>
  <cols>
    <col min="1" max="1" width="72" style="216" customWidth="1"/>
    <col min="2" max="2" width="10.85546875" bestFit="1" customWidth="1"/>
    <col min="3" max="3" width="9.140625" customWidth="1"/>
    <col min="4" max="4" width="11.140625" customWidth="1"/>
    <col min="5" max="6" width="15.7109375" customWidth="1"/>
    <col min="7" max="7" width="12.85546875" bestFit="1" customWidth="1"/>
    <col min="8" max="8" width="11" bestFit="1" customWidth="1"/>
    <col min="9" max="9" width="14" bestFit="1" customWidth="1"/>
    <col min="10" max="11" width="15.7109375" hidden="1" customWidth="1"/>
    <col min="12" max="12" width="18" hidden="1" customWidth="1"/>
    <col min="13" max="13" width="14.7109375" bestFit="1" customWidth="1"/>
    <col min="14" max="14" width="13.5703125" bestFit="1" customWidth="1"/>
    <col min="15" max="15" width="15.140625" bestFit="1" customWidth="1"/>
    <col min="16" max="16" width="14.7109375" bestFit="1" customWidth="1"/>
    <col min="17" max="17" width="23.5703125" hidden="1" customWidth="1"/>
    <col min="18" max="18" width="9.28515625" bestFit="1" customWidth="1"/>
    <col min="19" max="19" width="16.5703125" customWidth="1"/>
    <col min="20" max="20" width="13.140625" bestFit="1" customWidth="1"/>
    <col min="21" max="21" width="22.140625" customWidth="1"/>
    <col min="22" max="22" width="14.140625" style="2" customWidth="1"/>
    <col min="23" max="23" width="13.140625" bestFit="1" customWidth="1"/>
    <col min="24" max="24" width="27.85546875" bestFit="1" customWidth="1"/>
    <col min="25" max="25" width="15.5703125" bestFit="1" customWidth="1"/>
    <col min="26" max="26" width="16.7109375" bestFit="1" customWidth="1"/>
    <col min="27" max="28" width="13.5703125" customWidth="1"/>
    <col min="29" max="29" width="14.7109375" bestFit="1" customWidth="1"/>
    <col min="31" max="31" width="11.28515625" bestFit="1" customWidth="1"/>
    <col min="34" max="34" width="12.42578125" bestFit="1" customWidth="1"/>
  </cols>
  <sheetData>
    <row r="1" spans="1:23" ht="18.75" x14ac:dyDescent="0.25">
      <c r="A1" s="1692" t="s">
        <v>65</v>
      </c>
      <c r="B1" s="1692"/>
      <c r="C1" s="1692"/>
      <c r="D1" s="1692"/>
      <c r="E1" s="1692"/>
      <c r="F1" s="1692"/>
      <c r="G1" s="1692"/>
      <c r="H1" s="1692"/>
      <c r="I1" s="1692"/>
      <c r="J1" s="1692"/>
      <c r="K1" s="1692"/>
      <c r="L1" s="1692"/>
      <c r="M1" s="1692"/>
      <c r="N1" s="1692"/>
      <c r="O1" s="1692"/>
      <c r="P1" s="1692"/>
      <c r="Q1" s="1692"/>
      <c r="R1" s="1692"/>
      <c r="S1" s="1692"/>
      <c r="T1" s="1692"/>
      <c r="U1" s="1692"/>
      <c r="V1" s="1692"/>
      <c r="W1" s="1692"/>
    </row>
    <row r="3" spans="1:23" ht="15.75" x14ac:dyDescent="0.25">
      <c r="A3" s="1693" t="s">
        <v>0</v>
      </c>
      <c r="B3" s="1693"/>
      <c r="C3" s="1693"/>
      <c r="D3" s="1693"/>
      <c r="E3" s="1693"/>
      <c r="F3" s="1693"/>
      <c r="G3" s="1693"/>
      <c r="H3" s="1693"/>
      <c r="I3" s="1693"/>
      <c r="J3" s="1693"/>
      <c r="K3" s="1693"/>
      <c r="L3" s="1693"/>
      <c r="M3" s="1693"/>
      <c r="N3" s="1693"/>
      <c r="O3" s="1693"/>
      <c r="P3" s="1693"/>
      <c r="Q3" s="1693"/>
      <c r="R3" s="1693"/>
      <c r="S3" s="1693"/>
      <c r="T3" s="1693"/>
      <c r="U3" s="1693"/>
      <c r="V3" s="1693"/>
      <c r="W3" s="1693"/>
    </row>
    <row r="4" spans="1:23" ht="16.5" x14ac:dyDescent="0.25">
      <c r="A4" s="1694" t="s">
        <v>1</v>
      </c>
      <c r="B4" s="1694"/>
      <c r="C4" s="1694"/>
      <c r="D4" s="1694"/>
      <c r="E4" s="1694"/>
      <c r="F4" s="1694"/>
      <c r="G4" s="1694"/>
      <c r="H4" s="1694"/>
      <c r="I4" s="1694"/>
      <c r="J4" s="1694"/>
      <c r="K4" s="1694"/>
      <c r="L4" s="1694"/>
      <c r="M4" s="1694"/>
      <c r="N4" s="1694"/>
      <c r="O4" s="1694"/>
      <c r="P4" s="1694"/>
      <c r="Q4" s="1694"/>
      <c r="R4" s="1694"/>
      <c r="S4" s="1694"/>
      <c r="T4" s="1694"/>
      <c r="U4" s="1694"/>
      <c r="V4" s="1694"/>
      <c r="W4" s="1694"/>
    </row>
    <row r="6" spans="1:23" x14ac:dyDescent="0.25">
      <c r="C6" t="s">
        <v>291</v>
      </c>
      <c r="D6" s="382">
        <v>45658</v>
      </c>
      <c r="E6" t="s">
        <v>406</v>
      </c>
      <c r="G6" s="21"/>
      <c r="H6" s="21"/>
      <c r="I6" s="559">
        <f>(G8*H7)/G7</f>
        <v>0.36083333333333334</v>
      </c>
      <c r="J6" s="21">
        <v>1226.83</v>
      </c>
      <c r="K6" s="21">
        <v>4.33</v>
      </c>
      <c r="L6" s="21"/>
      <c r="M6" s="21"/>
      <c r="N6" s="21"/>
      <c r="O6" s="21"/>
      <c r="P6" s="21"/>
      <c r="Q6" s="21"/>
      <c r="R6" s="21"/>
      <c r="S6" s="21"/>
      <c r="T6" s="21"/>
      <c r="U6" s="21"/>
      <c r="V6" s="21"/>
    </row>
    <row r="7" spans="1:23" ht="18" x14ac:dyDescent="0.25">
      <c r="A7" s="244"/>
      <c r="G7" s="21">
        <v>12</v>
      </c>
      <c r="H7" s="21">
        <v>1</v>
      </c>
      <c r="I7" s="21"/>
      <c r="J7" s="21"/>
      <c r="K7" s="560"/>
      <c r="L7" s="21"/>
      <c r="M7" s="21"/>
      <c r="N7" s="21"/>
      <c r="O7" s="21"/>
      <c r="P7" s="21"/>
      <c r="Q7" s="21"/>
      <c r="R7" s="21"/>
      <c r="S7" s="21"/>
      <c r="T7" s="21"/>
      <c r="U7" s="21"/>
      <c r="V7" s="21"/>
    </row>
    <row r="8" spans="1:23" x14ac:dyDescent="0.25">
      <c r="G8" s="21">
        <v>4.33</v>
      </c>
      <c r="H8" s="806"/>
      <c r="I8" s="811"/>
      <c r="J8" s="811"/>
      <c r="K8" s="811"/>
      <c r="L8" s="811"/>
      <c r="M8" s="811"/>
      <c r="N8" s="811"/>
      <c r="O8" s="811"/>
      <c r="P8" s="808"/>
      <c r="Q8" s="811"/>
      <c r="R8" s="811"/>
      <c r="S8" s="811"/>
      <c r="T8" s="21"/>
      <c r="U8" s="21"/>
      <c r="V8" s="21"/>
    </row>
    <row r="9" spans="1:23" x14ac:dyDescent="0.25">
      <c r="A9" s="217" t="s">
        <v>24</v>
      </c>
      <c r="B9" s="204">
        <v>225</v>
      </c>
      <c r="C9" s="9" t="s">
        <v>2</v>
      </c>
      <c r="D9" s="10"/>
      <c r="E9" s="10"/>
      <c r="F9" s="11"/>
      <c r="G9" s="21"/>
      <c r="H9" s="21">
        <v>1700</v>
      </c>
      <c r="I9" s="851"/>
      <c r="J9" s="806"/>
      <c r="K9" s="851"/>
      <c r="L9" s="852"/>
      <c r="M9" s="850"/>
      <c r="N9" s="851"/>
      <c r="O9" s="851"/>
      <c r="P9" s="561"/>
      <c r="Q9" s="21"/>
      <c r="R9" s="21"/>
      <c r="S9" s="21"/>
      <c r="T9" s="21"/>
      <c r="U9" s="21"/>
      <c r="V9" s="21"/>
      <c r="W9" s="1"/>
    </row>
    <row r="10" spans="1:23" ht="15.75" thickBot="1" x14ac:dyDescent="0.3">
      <c r="A10" s="218" t="s">
        <v>3</v>
      </c>
      <c r="B10" s="205">
        <v>1700</v>
      </c>
      <c r="C10" s="6" t="s">
        <v>4</v>
      </c>
      <c r="F10" s="12"/>
      <c r="G10" s="21"/>
      <c r="H10" s="562"/>
      <c r="I10" s="853"/>
      <c r="J10" s="854"/>
      <c r="K10" s="806"/>
      <c r="L10" s="850"/>
      <c r="M10" s="850"/>
      <c r="N10" s="855"/>
      <c r="O10" s="855"/>
      <c r="P10" s="561"/>
      <c r="Q10" s="21"/>
      <c r="R10" s="21"/>
      <c r="S10" s="21"/>
      <c r="T10" s="21"/>
      <c r="U10" s="21"/>
      <c r="V10" s="21"/>
    </row>
    <row r="11" spans="1:23" ht="15.75" thickBot="1" x14ac:dyDescent="0.3">
      <c r="A11" s="219"/>
      <c r="B11" s="14"/>
      <c r="C11" s="13"/>
      <c r="D11" s="15"/>
      <c r="E11" s="15"/>
      <c r="F11" s="14"/>
      <c r="G11" s="21"/>
      <c r="H11" s="567"/>
      <c r="I11" s="851"/>
      <c r="J11" s="854"/>
      <c r="K11" s="851"/>
      <c r="L11" s="852"/>
      <c r="M11" s="852"/>
      <c r="N11" s="806"/>
      <c r="O11" s="806"/>
      <c r="P11" s="561"/>
      <c r="Q11" s="21"/>
      <c r="R11" s="21"/>
      <c r="S11" s="21"/>
      <c r="T11" s="21"/>
      <c r="U11" s="21"/>
      <c r="V11" s="21"/>
    </row>
    <row r="12" spans="1:23" x14ac:dyDescent="0.25">
      <c r="A12" s="220" t="s">
        <v>25</v>
      </c>
      <c r="B12" s="16">
        <v>0.32500000000000001</v>
      </c>
      <c r="C12" s="6" t="s">
        <v>26</v>
      </c>
      <c r="F12" s="12"/>
      <c r="G12" s="21"/>
      <c r="H12" s="562" t="e">
        <f>(H9*I10)/I9</f>
        <v>#DIV/0!</v>
      </c>
      <c r="I12" s="851"/>
      <c r="J12" s="851"/>
      <c r="K12" s="806"/>
      <c r="L12" s="851"/>
      <c r="M12" s="851"/>
      <c r="N12" s="806"/>
      <c r="O12" s="806"/>
      <c r="P12" s="569"/>
      <c r="Q12" s="21"/>
      <c r="R12" s="21"/>
      <c r="S12" s="21"/>
      <c r="T12" s="21"/>
      <c r="U12" s="21"/>
      <c r="V12" s="21"/>
      <c r="W12" s="1"/>
    </row>
    <row r="13" spans="1:23" x14ac:dyDescent="0.25">
      <c r="A13" s="217" t="s">
        <v>5</v>
      </c>
      <c r="B13" s="858">
        <v>5.2299999999999999E-2</v>
      </c>
      <c r="C13" s="6" t="s">
        <v>420</v>
      </c>
      <c r="F13" s="12"/>
      <c r="G13" s="21"/>
      <c r="H13" s="21"/>
      <c r="I13" s="806"/>
      <c r="J13" s="806"/>
      <c r="K13" s="806"/>
      <c r="L13" s="806"/>
      <c r="M13" s="806"/>
      <c r="N13" s="806"/>
      <c r="O13" s="806"/>
      <c r="P13" s="561"/>
      <c r="Q13" s="21"/>
      <c r="R13" s="21"/>
      <c r="S13" s="21"/>
      <c r="T13" s="21"/>
      <c r="U13" s="21"/>
      <c r="V13" s="21"/>
      <c r="W13" s="1"/>
    </row>
    <row r="14" spans="1:23" x14ac:dyDescent="0.25">
      <c r="A14" s="217" t="s">
        <v>6</v>
      </c>
      <c r="B14" s="858">
        <v>2.2499999999999999E-2</v>
      </c>
      <c r="C14" s="6" t="s">
        <v>7</v>
      </c>
      <c r="F14" s="12"/>
      <c r="G14" s="21"/>
      <c r="H14" s="21"/>
      <c r="I14" s="562">
        <f>F30*0.2</f>
        <v>11419.1</v>
      </c>
      <c r="J14" s="21"/>
      <c r="K14" s="21"/>
      <c r="L14" s="21"/>
      <c r="M14" s="562">
        <f>I14/33.59</f>
        <v>339.95534385233697</v>
      </c>
      <c r="N14" s="21"/>
      <c r="O14" s="561"/>
      <c r="P14" s="21"/>
      <c r="Q14" s="561"/>
      <c r="R14" s="561"/>
      <c r="S14" s="561">
        <f>O26+O26</f>
        <v>57956.001200696053</v>
      </c>
      <c r="T14" s="561"/>
      <c r="U14" s="21">
        <f>U15-W15</f>
        <v>182200.39112079737</v>
      </c>
      <c r="V14" s="806"/>
      <c r="W14" s="22"/>
    </row>
    <row r="15" spans="1:23" x14ac:dyDescent="0.25">
      <c r="A15" s="217" t="s">
        <v>8</v>
      </c>
      <c r="B15" s="18">
        <v>0.05</v>
      </c>
      <c r="C15" s="23"/>
      <c r="D15" s="24"/>
      <c r="E15" s="24"/>
      <c r="F15" s="25"/>
      <c r="G15" s="21"/>
      <c r="H15" s="21"/>
      <c r="I15" s="21"/>
      <c r="J15" s="21"/>
      <c r="K15" s="21"/>
      <c r="L15" s="21"/>
      <c r="M15" s="21"/>
      <c r="N15" s="21"/>
      <c r="O15" s="561"/>
      <c r="P15" s="565"/>
      <c r="Q15" s="21"/>
      <c r="R15" s="21"/>
      <c r="S15" s="561">
        <f>M26+44235.96</f>
        <v>89018.260000000009</v>
      </c>
      <c r="T15" s="561">
        <f>S15/2</f>
        <v>44509.130000000005</v>
      </c>
      <c r="U15" s="21">
        <v>182200.39112079737</v>
      </c>
      <c r="V15" s="806"/>
      <c r="W15" s="21"/>
    </row>
    <row r="16" spans="1:23" x14ac:dyDescent="0.25">
      <c r="H16" s="846"/>
      <c r="I16" s="846"/>
      <c r="J16" s="846"/>
      <c r="K16" s="846"/>
      <c r="L16" s="846"/>
      <c r="M16" s="846"/>
      <c r="N16" s="846"/>
      <c r="O16" s="846"/>
      <c r="P16" s="846"/>
      <c r="Q16" s="846"/>
      <c r="R16" s="846"/>
      <c r="S16" s="847">
        <f>SUM(S14:S15)</f>
        <v>146974.26120069606</v>
      </c>
      <c r="T16" s="846"/>
      <c r="V16" s="660"/>
    </row>
    <row r="17" spans="1:29" ht="15.75" thickBot="1" x14ac:dyDescent="0.3">
      <c r="V17" s="660"/>
    </row>
    <row r="18" spans="1:29" ht="57.6" customHeight="1" thickBot="1" x14ac:dyDescent="0.3">
      <c r="A18" s="221" t="s">
        <v>10</v>
      </c>
      <c r="B18" s="26" t="s">
        <v>27</v>
      </c>
      <c r="C18" s="27" t="s">
        <v>11</v>
      </c>
      <c r="D18" s="27" t="s">
        <v>12</v>
      </c>
      <c r="E18" s="27" t="s">
        <v>13</v>
      </c>
      <c r="F18" s="26" t="s">
        <v>28</v>
      </c>
      <c r="G18" s="26" t="s">
        <v>29</v>
      </c>
      <c r="H18" s="26" t="s">
        <v>299</v>
      </c>
      <c r="I18" s="26" t="s">
        <v>242</v>
      </c>
      <c r="J18" s="26" t="s">
        <v>30</v>
      </c>
      <c r="K18" s="26" t="s">
        <v>31</v>
      </c>
      <c r="L18" s="28" t="s">
        <v>32</v>
      </c>
      <c r="M18" s="28" t="s">
        <v>414</v>
      </c>
      <c r="N18" s="27" t="s">
        <v>14</v>
      </c>
      <c r="O18" s="26" t="s">
        <v>421</v>
      </c>
      <c r="P18" s="26" t="s">
        <v>423</v>
      </c>
      <c r="Q18" s="29" t="s">
        <v>34</v>
      </c>
      <c r="R18" s="693" t="s">
        <v>422</v>
      </c>
      <c r="S18" s="695" t="s">
        <v>474</v>
      </c>
      <c r="T18" s="695" t="s">
        <v>425</v>
      </c>
      <c r="U18" s="30" t="s">
        <v>35</v>
      </c>
      <c r="V18" s="650"/>
      <c r="X18" s="31" t="s">
        <v>36</v>
      </c>
      <c r="Y18" s="32" t="s">
        <v>37</v>
      </c>
      <c r="Z18" s="32" t="s">
        <v>38</v>
      </c>
      <c r="AA18" s="32" t="s">
        <v>39</v>
      </c>
      <c r="AB18" s="32" t="s">
        <v>40</v>
      </c>
      <c r="AC18" s="33" t="s">
        <v>9</v>
      </c>
    </row>
    <row r="19" spans="1:29" ht="30" customHeight="1" thickBot="1" x14ac:dyDescent="0.3">
      <c r="A19" s="222" t="s">
        <v>41</v>
      </c>
      <c r="B19" s="34"/>
      <c r="C19" s="34"/>
      <c r="D19" s="34"/>
      <c r="E19" s="35"/>
      <c r="F19" s="34"/>
      <c r="G19" s="34"/>
      <c r="H19" s="34"/>
      <c r="I19" s="34"/>
      <c r="J19" s="34"/>
      <c r="K19" s="34"/>
      <c r="L19" s="34"/>
      <c r="M19" s="34"/>
      <c r="N19" s="34"/>
      <c r="O19" s="34"/>
      <c r="P19" s="34"/>
      <c r="Q19" s="36"/>
      <c r="R19" s="692"/>
      <c r="S19" s="692"/>
      <c r="T19" s="692"/>
      <c r="U19" s="35" t="s">
        <v>42</v>
      </c>
      <c r="V19" s="651"/>
      <c r="X19" s="7"/>
      <c r="Y19" s="10"/>
      <c r="Z19" s="37"/>
      <c r="AA19" s="37"/>
      <c r="AB19" s="37"/>
      <c r="AC19" s="37"/>
    </row>
    <row r="20" spans="1:29" ht="21.75" customHeight="1" x14ac:dyDescent="0.25">
      <c r="A20" s="384" t="s">
        <v>66</v>
      </c>
      <c r="B20" s="385"/>
      <c r="C20" s="386"/>
      <c r="D20" s="385"/>
      <c r="E20" s="387"/>
      <c r="F20" s="385"/>
      <c r="G20" s="388"/>
      <c r="H20" s="388"/>
      <c r="I20" s="388"/>
      <c r="J20" s="389"/>
      <c r="K20" s="389"/>
      <c r="L20" s="390"/>
      <c r="M20" s="390"/>
      <c r="N20" s="391"/>
      <c r="O20" s="391"/>
      <c r="P20" s="392"/>
      <c r="Q20" s="393">
        <f>IF(L20&gt;P20,L20,P20)</f>
        <v>0</v>
      </c>
      <c r="R20" s="393"/>
      <c r="S20" s="746">
        <f>S21</f>
        <v>49151.040000000001</v>
      </c>
      <c r="T20" s="393"/>
      <c r="U20" s="570">
        <f>SUM(U21:U24)</f>
        <v>65125.128000000004</v>
      </c>
      <c r="V20" s="652"/>
      <c r="X20" s="160"/>
      <c r="Z20" s="3"/>
      <c r="AA20" s="3"/>
      <c r="AB20" s="3"/>
      <c r="AC20" s="3"/>
    </row>
    <row r="21" spans="1:29" ht="21.75" customHeight="1" x14ac:dyDescent="0.25">
      <c r="A21" s="223" t="s">
        <v>294</v>
      </c>
      <c r="B21" s="38"/>
      <c r="C21" s="39" t="s">
        <v>121</v>
      </c>
      <c r="D21" s="38">
        <f>F21/225</f>
        <v>7.5555555555555554</v>
      </c>
      <c r="E21" s="40">
        <v>37.799999999999997</v>
      </c>
      <c r="F21" s="422">
        <v>1700</v>
      </c>
      <c r="G21" s="41">
        <v>1</v>
      </c>
      <c r="H21" s="41"/>
      <c r="I21" s="41"/>
      <c r="J21" s="42"/>
      <c r="K21" s="42"/>
      <c r="L21" s="43"/>
      <c r="M21" s="621">
        <v>49151.040000000001</v>
      </c>
      <c r="N21" s="268">
        <v>30703.54</v>
      </c>
      <c r="O21" s="667">
        <f>N24+N23+N22+N21</f>
        <v>37577.603768851506</v>
      </c>
      <c r="P21" s="668">
        <f>IF(M21&gt;O21,M21,O21)</f>
        <v>49151.040000000001</v>
      </c>
      <c r="Q21" s="44"/>
      <c r="R21" s="684">
        <f>(P21-O21)/P21</f>
        <v>0.23546676186604584</v>
      </c>
      <c r="S21" s="691">
        <f>P21*G21</f>
        <v>49151.040000000001</v>
      </c>
      <c r="T21" s="696">
        <f>$B$12*S21</f>
        <v>15974.088000000002</v>
      </c>
      <c r="U21" s="45">
        <f>S21+T21</f>
        <v>65125.128000000004</v>
      </c>
      <c r="V21" s="492"/>
      <c r="W21" s="20"/>
      <c r="X21" s="160">
        <f t="shared" ref="X21:X24" si="0">U21</f>
        <v>65125.128000000004</v>
      </c>
      <c r="Z21" s="3"/>
      <c r="AA21" s="3"/>
      <c r="AB21" s="3"/>
      <c r="AC21" s="3"/>
    </row>
    <row r="22" spans="1:29" ht="21" customHeight="1" x14ac:dyDescent="0.25">
      <c r="A22" s="617" t="s">
        <v>293</v>
      </c>
      <c r="B22" s="38"/>
      <c r="C22" s="39" t="s">
        <v>16</v>
      </c>
      <c r="D22" s="38"/>
      <c r="E22" s="40"/>
      <c r="F22" s="38">
        <f>F21*I22</f>
        <v>850</v>
      </c>
      <c r="G22" s="41">
        <v>1</v>
      </c>
      <c r="H22" s="415">
        <f>'SALARIS CONVENI 2024'!$D$7</f>
        <v>1.7809483758700697</v>
      </c>
      <c r="I22" s="428">
        <v>0.5</v>
      </c>
      <c r="J22" s="42"/>
      <c r="K22" s="42"/>
      <c r="L22" s="43"/>
      <c r="M22" s="669"/>
      <c r="N22" s="268">
        <f>H22*F22</f>
        <v>1513.8061194895593</v>
      </c>
      <c r="O22" s="673"/>
      <c r="P22" s="676"/>
      <c r="Q22" s="44"/>
      <c r="R22" s="44"/>
      <c r="S22" s="44"/>
      <c r="T22" s="696">
        <f t="shared" ref="T22:T68" si="1">$B$12*S22</f>
        <v>0</v>
      </c>
      <c r="U22" s="45"/>
      <c r="V22" s="492"/>
      <c r="X22" s="160">
        <f t="shared" si="0"/>
        <v>0</v>
      </c>
      <c r="Z22" s="3"/>
      <c r="AA22" s="3"/>
      <c r="AB22" s="3"/>
      <c r="AC22" s="3"/>
    </row>
    <row r="23" spans="1:29" ht="15.95" customHeight="1" x14ac:dyDescent="0.25">
      <c r="A23" s="617" t="s">
        <v>292</v>
      </c>
      <c r="B23" s="38"/>
      <c r="C23" s="39"/>
      <c r="D23" s="38">
        <f>D20*0.25</f>
        <v>0</v>
      </c>
      <c r="E23" s="40">
        <f>E20*0.25</f>
        <v>0</v>
      </c>
      <c r="F23" s="38">
        <f>F21*I23</f>
        <v>425</v>
      </c>
      <c r="G23" s="41">
        <v>1</v>
      </c>
      <c r="H23" s="415">
        <f>'SALARIS CONVENI 2024'!$E$7</f>
        <v>4.4523709396751743</v>
      </c>
      <c r="I23" s="428">
        <v>0.25</v>
      </c>
      <c r="J23" s="42"/>
      <c r="K23" s="42"/>
      <c r="L23" s="43"/>
      <c r="M23" s="669"/>
      <c r="N23" s="268">
        <f>F23*H23</f>
        <v>1892.257649361949</v>
      </c>
      <c r="O23" s="673"/>
      <c r="P23" s="676"/>
      <c r="Q23" s="44"/>
      <c r="R23" s="44"/>
      <c r="S23" s="44"/>
      <c r="T23" s="696">
        <f t="shared" si="1"/>
        <v>0</v>
      </c>
      <c r="U23" s="45"/>
      <c r="V23" s="492"/>
      <c r="W23" s="20"/>
      <c r="X23" s="160">
        <f t="shared" si="0"/>
        <v>0</v>
      </c>
      <c r="Z23" s="3"/>
      <c r="AA23" s="3"/>
      <c r="AB23" s="3"/>
      <c r="AC23" s="3"/>
    </row>
    <row r="24" spans="1:29" ht="15.95" customHeight="1" x14ac:dyDescent="0.25">
      <c r="A24" s="617" t="s">
        <v>318</v>
      </c>
      <c r="B24" s="38"/>
      <c r="C24" s="39"/>
      <c r="D24" s="38"/>
      <c r="E24" s="40"/>
      <c r="F24" s="38">
        <v>12</v>
      </c>
      <c r="G24" s="41">
        <v>1</v>
      </c>
      <c r="H24" s="415">
        <v>289</v>
      </c>
      <c r="I24" s="428"/>
      <c r="J24" s="42"/>
      <c r="K24" s="42"/>
      <c r="L24" s="43"/>
      <c r="M24" s="669"/>
      <c r="N24" s="268">
        <f>H24*F24</f>
        <v>3468</v>
      </c>
      <c r="O24" s="673"/>
      <c r="P24" s="676"/>
      <c r="Q24" s="44"/>
      <c r="R24" s="44"/>
      <c r="S24" s="44"/>
      <c r="T24" s="696">
        <f t="shared" si="1"/>
        <v>0</v>
      </c>
      <c r="U24" s="45"/>
      <c r="V24" s="492"/>
      <c r="W24" s="20"/>
      <c r="X24" s="160">
        <f t="shared" si="0"/>
        <v>0</v>
      </c>
      <c r="Z24" s="3"/>
      <c r="AA24" s="3"/>
      <c r="AB24" s="3"/>
      <c r="AC24" s="3"/>
    </row>
    <row r="25" spans="1:29" ht="15.75" x14ac:dyDescent="0.25">
      <c r="A25" s="394" t="s">
        <v>297</v>
      </c>
      <c r="B25" s="395"/>
      <c r="C25" s="396"/>
      <c r="D25" s="395"/>
      <c r="E25" s="397"/>
      <c r="F25" s="395"/>
      <c r="G25" s="398"/>
      <c r="H25" s="398"/>
      <c r="I25" s="431"/>
      <c r="J25" s="399"/>
      <c r="K25" s="399"/>
      <c r="L25" s="400"/>
      <c r="M25" s="400"/>
      <c r="N25" s="401"/>
      <c r="O25" s="664"/>
      <c r="P25" s="747"/>
      <c r="Q25" s="393">
        <f>IF(L25&gt;P25,L25,P25)</f>
        <v>0</v>
      </c>
      <c r="R25" s="796"/>
      <c r="S25" s="725">
        <f>SUM(S26:S53)</f>
        <v>1814576.1295763103</v>
      </c>
      <c r="T25" s="725"/>
      <c r="U25" s="845">
        <f>SUM(U26:U53)</f>
        <v>2404313.3716886099</v>
      </c>
      <c r="V25" s="653"/>
      <c r="W25" s="624"/>
      <c r="X25" s="160"/>
      <c r="Z25" s="3"/>
      <c r="AA25" s="3"/>
      <c r="AB25" s="3"/>
      <c r="AC25" s="3"/>
    </row>
    <row r="26" spans="1:29" ht="15.75" x14ac:dyDescent="0.25">
      <c r="A26" s="403" t="s">
        <v>298</v>
      </c>
      <c r="B26" s="404"/>
      <c r="C26" s="405"/>
      <c r="D26" s="404"/>
      <c r="E26" s="406"/>
      <c r="F26" s="802">
        <v>6800</v>
      </c>
      <c r="G26" s="803">
        <f>F26/1700</f>
        <v>4</v>
      </c>
      <c r="H26" s="407"/>
      <c r="I26" s="432"/>
      <c r="J26" s="408"/>
      <c r="K26" s="408"/>
      <c r="L26" s="409"/>
      <c r="M26" s="619">
        <v>44782.3</v>
      </c>
      <c r="N26" s="612">
        <v>24667.8</v>
      </c>
      <c r="O26" s="667">
        <f>N26+N27+N28+N29</f>
        <v>28978.000600348027</v>
      </c>
      <c r="P26" s="412">
        <f>IF(M26&gt;O26,M26,O26)</f>
        <v>44782.3</v>
      </c>
      <c r="Q26" s="413"/>
      <c r="R26" s="684">
        <f>(P26-O26)/P26</f>
        <v>0.35291397270019575</v>
      </c>
      <c r="S26" s="691">
        <v>146974.26</v>
      </c>
      <c r="T26" s="696">
        <f>$B$12*S26</f>
        <v>47766.634500000007</v>
      </c>
      <c r="U26" s="723">
        <f>S26+T26</f>
        <v>194740.89450000002</v>
      </c>
      <c r="V26" s="492"/>
      <c r="W26" s="624"/>
      <c r="X26" s="160">
        <f t="shared" ref="X26:X68" si="2">U26</f>
        <v>194740.89450000002</v>
      </c>
      <c r="Z26" s="3"/>
      <c r="AA26" s="3"/>
      <c r="AB26" s="3"/>
      <c r="AC26" s="3"/>
    </row>
    <row r="27" spans="1:29" ht="15.95" customHeight="1" x14ac:dyDescent="0.25">
      <c r="A27" s="618" t="s">
        <v>293</v>
      </c>
      <c r="B27" s="52"/>
      <c r="C27" s="53" t="s">
        <v>16</v>
      </c>
      <c r="D27" s="52"/>
      <c r="E27" s="54"/>
      <c r="F27" s="52">
        <f>F26*I27</f>
        <v>1700</v>
      </c>
      <c r="G27" s="417">
        <v>4</v>
      </c>
      <c r="H27" s="416">
        <f>'SALARIS CONVENI 2024'!$D$8</f>
        <v>1.5036049883990721</v>
      </c>
      <c r="I27" s="430">
        <v>0.25</v>
      </c>
      <c r="J27" s="56"/>
      <c r="K27" s="56"/>
      <c r="L27" s="328"/>
      <c r="M27" s="571"/>
      <c r="N27" s="269">
        <f>(F27*H27)/G27</f>
        <v>639.03212006960564</v>
      </c>
      <c r="O27" s="673"/>
      <c r="P27" s="676"/>
      <c r="Q27" s="44"/>
      <c r="R27" s="44"/>
      <c r="S27" s="44"/>
      <c r="T27" s="696">
        <f t="shared" si="1"/>
        <v>0</v>
      </c>
      <c r="U27" s="45"/>
      <c r="V27" s="492"/>
      <c r="X27" s="160">
        <f t="shared" si="2"/>
        <v>0</v>
      </c>
      <c r="Z27" s="3"/>
      <c r="AA27" s="3"/>
      <c r="AB27" s="3"/>
      <c r="AC27" s="3"/>
    </row>
    <row r="28" spans="1:29" ht="15.95" customHeight="1" x14ac:dyDescent="0.25">
      <c r="A28" s="618" t="s">
        <v>282</v>
      </c>
      <c r="B28" s="52"/>
      <c r="C28" s="53"/>
      <c r="D28" s="52"/>
      <c r="E28" s="54"/>
      <c r="F28" s="52">
        <f>F26*I28</f>
        <v>2720</v>
      </c>
      <c r="G28" s="58">
        <v>4</v>
      </c>
      <c r="H28" s="419">
        <f>'SALARIS CONVENI 2024'!$E$8</f>
        <v>3.7590124709976802</v>
      </c>
      <c r="I28" s="430">
        <v>0.4</v>
      </c>
      <c r="J28" s="56"/>
      <c r="K28" s="56"/>
      <c r="L28" s="328"/>
      <c r="M28" s="687"/>
      <c r="N28" s="269">
        <f>(F28*H28)/4</f>
        <v>2556.1284802784226</v>
      </c>
      <c r="O28" s="673"/>
      <c r="P28" s="676"/>
      <c r="Q28" s="44"/>
      <c r="R28" s="44"/>
      <c r="S28" s="44"/>
      <c r="T28" s="696">
        <f t="shared" si="1"/>
        <v>0</v>
      </c>
      <c r="U28" s="45"/>
      <c r="V28" s="492"/>
      <c r="X28" s="160">
        <f t="shared" si="2"/>
        <v>0</v>
      </c>
      <c r="Z28" s="3"/>
      <c r="AA28" s="3"/>
      <c r="AB28" s="3"/>
      <c r="AC28" s="3"/>
    </row>
    <row r="29" spans="1:29" ht="15.95" customHeight="1" x14ac:dyDescent="0.25">
      <c r="A29" s="618" t="s">
        <v>301</v>
      </c>
      <c r="B29" s="52"/>
      <c r="C29" s="53"/>
      <c r="D29" s="52"/>
      <c r="E29" s="54"/>
      <c r="F29" s="52">
        <v>12</v>
      </c>
      <c r="G29" s="58">
        <v>4</v>
      </c>
      <c r="H29" s="419">
        <v>92.92</v>
      </c>
      <c r="I29" s="430"/>
      <c r="J29" s="56"/>
      <c r="K29" s="56"/>
      <c r="L29" s="328"/>
      <c r="M29" s="687"/>
      <c r="N29" s="269">
        <f>F29*H29</f>
        <v>1115.04</v>
      </c>
      <c r="O29" s="673"/>
      <c r="P29" s="676"/>
      <c r="Q29" s="44"/>
      <c r="R29" s="44"/>
      <c r="S29" s="44"/>
      <c r="T29" s="696">
        <f t="shared" si="1"/>
        <v>0</v>
      </c>
      <c r="U29" s="45"/>
      <c r="V29" s="492"/>
      <c r="X29" s="160">
        <f t="shared" si="2"/>
        <v>0</v>
      </c>
      <c r="Z29" s="3"/>
      <c r="AA29" s="3"/>
      <c r="AB29" s="3"/>
      <c r="AC29" s="3"/>
    </row>
    <row r="30" spans="1:29" ht="15.95" customHeight="1" x14ac:dyDescent="0.25">
      <c r="A30" s="215" t="s">
        <v>300</v>
      </c>
      <c r="B30" s="52"/>
      <c r="C30" s="444" t="s">
        <v>323</v>
      </c>
      <c r="D30" s="52"/>
      <c r="E30" s="54"/>
      <c r="F30" s="425">
        <v>57095.5</v>
      </c>
      <c r="G30" s="58">
        <f>F30/1700</f>
        <v>33.585588235294118</v>
      </c>
      <c r="H30" s="58"/>
      <c r="I30" s="430"/>
      <c r="J30" s="56"/>
      <c r="K30" s="56"/>
      <c r="L30" s="328"/>
      <c r="M30" s="619">
        <v>33980.04</v>
      </c>
      <c r="N30" s="269">
        <v>24667.8</v>
      </c>
      <c r="O30" s="667">
        <f>N30+N31+N32+N33</f>
        <v>31056.312477979303</v>
      </c>
      <c r="P30" s="271">
        <f>IF(M30&gt;O30,M30,O30)</f>
        <v>33980.04</v>
      </c>
      <c r="Q30" s="44"/>
      <c r="R30" s="44"/>
      <c r="S30" s="44">
        <f>P30*G30</f>
        <v>1141239.6316588235</v>
      </c>
      <c r="T30" s="696">
        <f t="shared" si="1"/>
        <v>370902.88028911763</v>
      </c>
      <c r="U30" s="45">
        <f>SUM(S30:T30)</f>
        <v>1512142.511947941</v>
      </c>
      <c r="V30" s="492"/>
      <c r="W30" s="20"/>
      <c r="X30" s="160">
        <f t="shared" si="2"/>
        <v>1512142.511947941</v>
      </c>
      <c r="Z30" s="3"/>
      <c r="AA30" s="3"/>
      <c r="AB30" s="3"/>
      <c r="AC30" s="3"/>
    </row>
    <row r="31" spans="1:29" ht="15.95" customHeight="1" x14ac:dyDescent="0.25">
      <c r="A31" s="618" t="s">
        <v>293</v>
      </c>
      <c r="B31" s="52"/>
      <c r="C31" s="53"/>
      <c r="D31" s="52"/>
      <c r="E31" s="54"/>
      <c r="F31" s="52">
        <f>F30*I31</f>
        <v>11419.1</v>
      </c>
      <c r="G31" s="58" t="s">
        <v>469</v>
      </c>
      <c r="H31" s="419">
        <f>'SALARIS CONVENI 2024'!$D$9</f>
        <v>1.4314274941995362</v>
      </c>
      <c r="I31" s="430">
        <v>0.2</v>
      </c>
      <c r="J31" s="56"/>
      <c r="K31" s="56"/>
      <c r="L31" s="328"/>
      <c r="M31" s="670"/>
      <c r="N31" s="269">
        <f>(F31*H31)/G30</f>
        <v>486.68534802784228</v>
      </c>
      <c r="O31" s="673"/>
      <c r="P31" s="676"/>
      <c r="Q31" s="44"/>
      <c r="R31" s="44"/>
      <c r="S31" s="44"/>
      <c r="T31" s="696">
        <f t="shared" si="1"/>
        <v>0</v>
      </c>
      <c r="U31" s="45"/>
      <c r="V31" s="492"/>
      <c r="X31" s="160">
        <f t="shared" si="2"/>
        <v>0</v>
      </c>
      <c r="Z31" s="3"/>
      <c r="AA31" s="3"/>
      <c r="AB31" s="3"/>
      <c r="AC31" s="3"/>
    </row>
    <row r="32" spans="1:29" ht="15.95" customHeight="1" x14ac:dyDescent="0.25">
      <c r="A32" s="685" t="s">
        <v>282</v>
      </c>
      <c r="B32" s="52"/>
      <c r="C32" s="53"/>
      <c r="D32" s="52"/>
      <c r="E32" s="54"/>
      <c r="F32" s="52">
        <f>F30*I32</f>
        <v>22838.2</v>
      </c>
      <c r="G32" s="58">
        <v>33.590000000000003</v>
      </c>
      <c r="H32" s="419">
        <f>'SALARIS CONVENI 2024'!$E$9</f>
        <v>3.5785687354988402</v>
      </c>
      <c r="I32" s="430">
        <v>0.4</v>
      </c>
      <c r="J32" s="56"/>
      <c r="K32" s="56"/>
      <c r="L32" s="328"/>
      <c r="M32" s="670"/>
      <c r="N32" s="269">
        <f>(F32*H32)/G32</f>
        <v>2433.107129951462</v>
      </c>
      <c r="O32" s="673"/>
      <c r="P32" s="676"/>
      <c r="Q32" s="44"/>
      <c r="R32" s="44"/>
      <c r="S32" s="44"/>
      <c r="T32" s="696">
        <f t="shared" si="1"/>
        <v>0</v>
      </c>
      <c r="U32" s="45"/>
      <c r="V32" s="492"/>
      <c r="X32" s="160">
        <f t="shared" si="2"/>
        <v>0</v>
      </c>
      <c r="Z32" s="3"/>
      <c r="AA32" s="3"/>
      <c r="AB32" s="3"/>
      <c r="AC32" s="3"/>
    </row>
    <row r="33" spans="1:29" ht="15.95" customHeight="1" x14ac:dyDescent="0.25">
      <c r="A33" s="686" t="s">
        <v>296</v>
      </c>
      <c r="B33" s="52"/>
      <c r="C33" s="53"/>
      <c r="D33" s="52"/>
      <c r="E33" s="54"/>
      <c r="F33" s="52">
        <v>12</v>
      </c>
      <c r="G33" s="58">
        <f>G30</f>
        <v>33.585588235294118</v>
      </c>
      <c r="H33" s="419">
        <v>289.06</v>
      </c>
      <c r="I33" s="430"/>
      <c r="J33" s="56"/>
      <c r="K33" s="56"/>
      <c r="L33" s="328"/>
      <c r="M33" s="670"/>
      <c r="N33" s="269">
        <f>F33*H33</f>
        <v>3468.7200000000003</v>
      </c>
      <c r="O33" s="673"/>
      <c r="P33" s="676"/>
      <c r="Q33" s="44"/>
      <c r="R33" s="44"/>
      <c r="S33" s="44"/>
      <c r="T33" s="696">
        <f t="shared" si="1"/>
        <v>0</v>
      </c>
      <c r="U33" s="45"/>
      <c r="V33" s="492"/>
      <c r="X33" s="160">
        <f t="shared" si="2"/>
        <v>0</v>
      </c>
      <c r="Z33" s="3"/>
      <c r="AA33" s="3"/>
      <c r="AB33" s="3"/>
      <c r="AC33" s="3"/>
    </row>
    <row r="34" spans="1:29" ht="15.95" customHeight="1" x14ac:dyDescent="0.25">
      <c r="A34" s="52" t="s">
        <v>322</v>
      </c>
      <c r="B34" s="441">
        <v>1</v>
      </c>
      <c r="C34" s="53" t="s">
        <v>16</v>
      </c>
      <c r="D34" s="52"/>
      <c r="E34" s="54"/>
      <c r="F34" s="52">
        <f>(F30/12)</f>
        <v>4757.958333333333</v>
      </c>
      <c r="G34" s="58">
        <f>F34/141.47</f>
        <v>33.632277750288637</v>
      </c>
      <c r="H34" s="419"/>
      <c r="I34" s="430"/>
      <c r="J34" s="56"/>
      <c r="K34" s="56"/>
      <c r="L34" s="328"/>
      <c r="M34" s="51"/>
      <c r="N34" s="269">
        <f>N30/12</f>
        <v>2055.65</v>
      </c>
      <c r="O34" s="673"/>
      <c r="P34" s="271">
        <f>N34</f>
        <v>2055.65</v>
      </c>
      <c r="Q34" s="44"/>
      <c r="R34" s="44"/>
      <c r="S34" s="44">
        <f>P34*G34</f>
        <v>69136.191757380846</v>
      </c>
      <c r="T34" s="696">
        <f t="shared" si="1"/>
        <v>22469.262321148777</v>
      </c>
      <c r="U34" s="45">
        <f>S34+T34</f>
        <v>91605.454078529627</v>
      </c>
      <c r="V34" s="492">
        <f>U34+U35+U36+U37</f>
        <v>115315.73687773677</v>
      </c>
      <c r="X34" s="160">
        <f t="shared" si="2"/>
        <v>91605.454078529627</v>
      </c>
      <c r="Z34" s="3"/>
      <c r="AA34" s="3"/>
      <c r="AB34" s="3"/>
      <c r="AC34" s="3"/>
    </row>
    <row r="35" spans="1:29" ht="15.95" customHeight="1" x14ac:dyDescent="0.25">
      <c r="A35" s="52" t="s">
        <v>326</v>
      </c>
      <c r="B35" s="441"/>
      <c r="C35" s="53" t="s">
        <v>16</v>
      </c>
      <c r="D35" s="52"/>
      <c r="E35" s="54"/>
      <c r="F35" s="52">
        <f>F34*0.4</f>
        <v>1903.1833333333334</v>
      </c>
      <c r="G35" s="58">
        <f>G34</f>
        <v>33.632277750288637</v>
      </c>
      <c r="H35" s="419">
        <f>'SALARIS CONVENI 2024'!$E$9</f>
        <v>3.5785687354988402</v>
      </c>
      <c r="I35" s="430">
        <v>0.4</v>
      </c>
      <c r="J35" s="56"/>
      <c r="K35" s="56"/>
      <c r="L35" s="328"/>
      <c r="M35" s="51"/>
      <c r="N35" s="269">
        <f>(F35*H35)/G35</f>
        <v>202.50404760440838</v>
      </c>
      <c r="O35" s="673"/>
      <c r="P35" s="271">
        <f>H35*F35</f>
        <v>6810.672374589135</v>
      </c>
      <c r="Q35" s="44"/>
      <c r="R35" s="44"/>
      <c r="S35" s="44">
        <f>N35*G35</f>
        <v>6810.672374589135</v>
      </c>
      <c r="T35" s="696">
        <f t="shared" si="1"/>
        <v>2213.468521741469</v>
      </c>
      <c r="U35" s="45">
        <f t="shared" ref="U35:U37" si="3">S35+T35</f>
        <v>9024.1408963306039</v>
      </c>
      <c r="V35" s="492"/>
      <c r="X35" s="160">
        <f t="shared" si="2"/>
        <v>9024.1408963306039</v>
      </c>
      <c r="Z35" s="3"/>
      <c r="AA35" s="3"/>
      <c r="AB35" s="3"/>
      <c r="AC35" s="3"/>
    </row>
    <row r="36" spans="1:29" ht="15.95" customHeight="1" x14ac:dyDescent="0.25">
      <c r="A36" s="52" t="s">
        <v>320</v>
      </c>
      <c r="B36" s="441"/>
      <c r="C36" s="53" t="s">
        <v>16</v>
      </c>
      <c r="D36" s="52"/>
      <c r="E36" s="54"/>
      <c r="F36" s="52">
        <v>1</v>
      </c>
      <c r="G36" s="58">
        <f>G35</f>
        <v>33.632277750288637</v>
      </c>
      <c r="H36" s="419">
        <v>289.06</v>
      </c>
      <c r="I36" s="430"/>
      <c r="J36" s="56"/>
      <c r="K36" s="56"/>
      <c r="L36" s="328"/>
      <c r="M36" s="51"/>
      <c r="N36" s="269">
        <f>H36</f>
        <v>289.06</v>
      </c>
      <c r="O36" s="673"/>
      <c r="P36" s="271">
        <f>G36*H36</f>
        <v>9721.7462064984338</v>
      </c>
      <c r="Q36" s="44"/>
      <c r="R36" s="44"/>
      <c r="S36" s="44">
        <f>N36*G35</f>
        <v>9721.7462064984338</v>
      </c>
      <c r="T36" s="696">
        <f t="shared" si="1"/>
        <v>3159.567517111991</v>
      </c>
      <c r="U36" s="45">
        <f t="shared" si="3"/>
        <v>12881.313723610425</v>
      </c>
      <c r="V36" s="492"/>
      <c r="X36" s="160">
        <f t="shared" si="2"/>
        <v>12881.313723610425</v>
      </c>
      <c r="Z36" s="3"/>
      <c r="AA36" s="3"/>
      <c r="AB36" s="3"/>
      <c r="AC36" s="3"/>
    </row>
    <row r="37" spans="1:29" ht="15.95" customHeight="1" x14ac:dyDescent="0.25">
      <c r="A37" s="52" t="s">
        <v>327</v>
      </c>
      <c r="B37" s="441"/>
      <c r="C37" s="53" t="s">
        <v>16</v>
      </c>
      <c r="D37" s="52"/>
      <c r="E37" s="54"/>
      <c r="F37" s="52">
        <f>F34*I37</f>
        <v>951.5916666666667</v>
      </c>
      <c r="G37" s="58">
        <f>G36</f>
        <v>33.632277750288637</v>
      </c>
      <c r="H37" s="419">
        <f>H31</f>
        <v>1.4314274941995362</v>
      </c>
      <c r="I37" s="430">
        <v>0.2</v>
      </c>
      <c r="J37" s="56"/>
      <c r="K37" s="56"/>
      <c r="L37" s="328"/>
      <c r="M37" s="51"/>
      <c r="N37" s="269">
        <f>(F37*H37)/G37</f>
        <v>40.500809520881674</v>
      </c>
      <c r="O37" s="673"/>
      <c r="P37" s="271">
        <f>N37</f>
        <v>40.500809520881674</v>
      </c>
      <c r="Q37" s="44"/>
      <c r="R37" s="44"/>
      <c r="S37" s="44">
        <f>N37*G37</f>
        <v>1362.134474917827</v>
      </c>
      <c r="T37" s="696">
        <f t="shared" si="1"/>
        <v>442.69370434829381</v>
      </c>
      <c r="U37" s="45">
        <f t="shared" si="3"/>
        <v>1804.8281792661207</v>
      </c>
      <c r="V37" s="492"/>
      <c r="X37" s="160">
        <f t="shared" si="2"/>
        <v>1804.8281792661207</v>
      </c>
      <c r="Z37" s="3"/>
      <c r="AA37" s="3"/>
      <c r="AB37" s="3"/>
      <c r="AC37" s="3"/>
    </row>
    <row r="38" spans="1:29" ht="15.75" x14ac:dyDescent="0.25">
      <c r="A38" s="215" t="s">
        <v>302</v>
      </c>
      <c r="B38" s="52"/>
      <c r="C38" s="444" t="s">
        <v>323</v>
      </c>
      <c r="D38" s="52"/>
      <c r="E38" s="54"/>
      <c r="F38" s="425">
        <v>10705.41</v>
      </c>
      <c r="G38" s="58">
        <f>F38/1700</f>
        <v>6.2972999999999999</v>
      </c>
      <c r="H38" s="58"/>
      <c r="I38" s="417"/>
      <c r="J38" s="56"/>
      <c r="K38" s="56"/>
      <c r="L38" s="328"/>
      <c r="M38" s="619">
        <v>35400.720000000001</v>
      </c>
      <c r="N38" s="329">
        <v>24667.8</v>
      </c>
      <c r="O38" s="667">
        <f>N38+N39+N40+N41</f>
        <v>31056.632088167051</v>
      </c>
      <c r="P38" s="271">
        <f>IF(M38&gt;O38,M38,O38)</f>
        <v>35400.720000000001</v>
      </c>
      <c r="Q38" s="44"/>
      <c r="R38" s="684">
        <f>(P38-O38)/P38</f>
        <v>0.12271185195761414</v>
      </c>
      <c r="S38" s="44">
        <f>P38*G38</f>
        <v>222928.95405600002</v>
      </c>
      <c r="T38" s="696">
        <f t="shared" si="1"/>
        <v>72451.910068200013</v>
      </c>
      <c r="U38" s="45">
        <f>SUM(S38:T38)</f>
        <v>295380.86412420002</v>
      </c>
      <c r="V38" s="492"/>
      <c r="X38" s="160">
        <f t="shared" si="2"/>
        <v>295380.86412420002</v>
      </c>
      <c r="Z38" s="3"/>
      <c r="AA38" s="3"/>
      <c r="AB38" s="3"/>
      <c r="AC38" s="3"/>
    </row>
    <row r="39" spans="1:29" ht="15.75" x14ac:dyDescent="0.25">
      <c r="A39" s="618" t="s">
        <v>293</v>
      </c>
      <c r="B39" s="52"/>
      <c r="C39" s="53"/>
      <c r="D39" s="52"/>
      <c r="E39" s="54"/>
      <c r="F39" s="52">
        <f>F38*I39</f>
        <v>2141.0819999999999</v>
      </c>
      <c r="G39" s="58">
        <v>6.2972999999999999</v>
      </c>
      <c r="H39" s="419">
        <f>'SALARIS CONVENI 2024'!$D$9</f>
        <v>1.4314274941995362</v>
      </c>
      <c r="I39" s="430">
        <v>0.2</v>
      </c>
      <c r="J39" s="56"/>
      <c r="K39" s="56"/>
      <c r="L39" s="328"/>
      <c r="M39" s="51"/>
      <c r="N39" s="329">
        <f>H39*(F39/G39)</f>
        <v>486.68534802784228</v>
      </c>
      <c r="O39" s="688"/>
      <c r="P39" s="688"/>
      <c r="Q39" s="44"/>
      <c r="R39" s="44"/>
      <c r="S39" s="44"/>
      <c r="T39" s="696">
        <f t="shared" si="1"/>
        <v>0</v>
      </c>
      <c r="U39" s="45">
        <f t="shared" ref="U39:U41" si="4">P39</f>
        <v>0</v>
      </c>
      <c r="V39" s="492"/>
      <c r="X39" s="160">
        <f t="shared" si="2"/>
        <v>0</v>
      </c>
      <c r="Z39" s="3"/>
      <c r="AA39" s="3"/>
      <c r="AB39" s="3"/>
      <c r="AC39" s="3"/>
    </row>
    <row r="40" spans="1:29" ht="15.75" x14ac:dyDescent="0.25">
      <c r="A40" s="618" t="s">
        <v>282</v>
      </c>
      <c r="B40" s="52"/>
      <c r="C40" s="53"/>
      <c r="D40" s="52"/>
      <c r="E40" s="54"/>
      <c r="F40" s="52">
        <f>F38*I40</f>
        <v>4282.1639999999998</v>
      </c>
      <c r="G40" s="58">
        <v>6.2972999999999999</v>
      </c>
      <c r="H40" s="58">
        <f>'SALARIS CONVENI 2024'!$E$9</f>
        <v>3.5785687354988402</v>
      </c>
      <c r="I40" s="430">
        <v>0.4</v>
      </c>
      <c r="J40" s="56"/>
      <c r="K40" s="56"/>
      <c r="L40" s="328"/>
      <c r="M40" s="51"/>
      <c r="N40" s="329">
        <f>(F40*H40)/G40</f>
        <v>2433.4267401392112</v>
      </c>
      <c r="O40" s="688"/>
      <c r="P40" s="688"/>
      <c r="Q40" s="44"/>
      <c r="R40" s="44"/>
      <c r="S40" s="44"/>
      <c r="T40" s="696">
        <f t="shared" si="1"/>
        <v>0</v>
      </c>
      <c r="U40" s="45">
        <f t="shared" si="4"/>
        <v>0</v>
      </c>
      <c r="V40" s="492"/>
      <c r="X40" s="160">
        <f t="shared" si="2"/>
        <v>0</v>
      </c>
      <c r="Z40" s="3"/>
      <c r="AA40" s="3"/>
      <c r="AB40" s="3"/>
      <c r="AC40" s="3"/>
    </row>
    <row r="41" spans="1:29" ht="15.75" x14ac:dyDescent="0.25">
      <c r="A41" s="618" t="s">
        <v>296</v>
      </c>
      <c r="B41" s="52"/>
      <c r="C41" s="53"/>
      <c r="D41" s="52"/>
      <c r="E41" s="54"/>
      <c r="F41" s="52">
        <v>12</v>
      </c>
      <c r="G41" s="58">
        <v>6.2972999999999999</v>
      </c>
      <c r="H41" s="58">
        <v>289.06</v>
      </c>
      <c r="I41" s="430"/>
      <c r="J41" s="56"/>
      <c r="K41" s="56"/>
      <c r="L41" s="328"/>
      <c r="M41" s="51"/>
      <c r="N41" s="329">
        <f>F41*H41</f>
        <v>3468.7200000000003</v>
      </c>
      <c r="O41" s="688"/>
      <c r="P41" s="688"/>
      <c r="Q41" s="44"/>
      <c r="R41" s="44"/>
      <c r="S41" s="44"/>
      <c r="T41" s="696">
        <f t="shared" si="1"/>
        <v>0</v>
      </c>
      <c r="U41" s="45">
        <f t="shared" si="4"/>
        <v>0</v>
      </c>
      <c r="V41" s="492"/>
      <c r="X41" s="160">
        <f t="shared" si="2"/>
        <v>0</v>
      </c>
      <c r="Z41" s="3"/>
      <c r="AA41" s="3"/>
      <c r="AB41" s="3"/>
      <c r="AC41" s="3"/>
    </row>
    <row r="42" spans="1:29" ht="15.75" x14ac:dyDescent="0.25">
      <c r="A42" s="214" t="s">
        <v>470</v>
      </c>
      <c r="B42" s="52"/>
      <c r="C42" s="53" t="s">
        <v>16</v>
      </c>
      <c r="D42" s="52"/>
      <c r="E42" s="54"/>
      <c r="F42" s="52">
        <f>F38/12</f>
        <v>892.11749999999995</v>
      </c>
      <c r="G42" s="58">
        <f>F42/141.67</f>
        <v>6.2971518317216066</v>
      </c>
      <c r="H42" s="58"/>
      <c r="I42" s="430"/>
      <c r="J42" s="56"/>
      <c r="K42" s="56"/>
      <c r="L42" s="328"/>
      <c r="M42" s="51"/>
      <c r="N42" s="329">
        <f>(N30/12)</f>
        <v>2055.65</v>
      </c>
      <c r="O42" s="688"/>
      <c r="P42" s="688"/>
      <c r="Q42" s="44"/>
      <c r="R42" s="44"/>
      <c r="S42" s="44">
        <f>N42*G43</f>
        <v>12944.740162878521</v>
      </c>
      <c r="T42" s="696">
        <f t="shared" si="1"/>
        <v>4207.0405529355194</v>
      </c>
      <c r="U42" s="45">
        <f>S42+T42</f>
        <v>17151.780715814042</v>
      </c>
      <c r="V42" s="492">
        <f>U42+U43+U44+U45</f>
        <v>21593.54999389096</v>
      </c>
      <c r="X42" s="160">
        <f t="shared" si="2"/>
        <v>17151.780715814042</v>
      </c>
      <c r="Z42" s="3"/>
      <c r="AA42" s="3"/>
      <c r="AB42" s="3"/>
      <c r="AC42" s="3"/>
    </row>
    <row r="43" spans="1:29" ht="15.75" x14ac:dyDescent="0.25">
      <c r="A43" s="214" t="s">
        <v>320</v>
      </c>
      <c r="B43" s="52"/>
      <c r="C43" s="53" t="s">
        <v>16</v>
      </c>
      <c r="D43" s="52"/>
      <c r="E43" s="54"/>
      <c r="F43" s="52">
        <v>1</v>
      </c>
      <c r="G43" s="58">
        <f>G42</f>
        <v>6.2971518317216066</v>
      </c>
      <c r="H43" s="58">
        <v>289</v>
      </c>
      <c r="I43" s="430"/>
      <c r="J43" s="56"/>
      <c r="K43" s="56"/>
      <c r="L43" s="328"/>
      <c r="M43" s="51"/>
      <c r="N43" s="329">
        <f>H43</f>
        <v>289</v>
      </c>
      <c r="O43" s="688"/>
      <c r="P43" s="688"/>
      <c r="Q43" s="44"/>
      <c r="R43" s="44"/>
      <c r="S43" s="44">
        <f>N43*G43</f>
        <v>1819.8768793675442</v>
      </c>
      <c r="T43" s="696">
        <f t="shared" si="1"/>
        <v>591.45998579445188</v>
      </c>
      <c r="U43" s="45">
        <f t="shared" ref="U43:U45" si="5">S43+T43</f>
        <v>2411.3368651619962</v>
      </c>
      <c r="V43" s="492"/>
      <c r="X43" s="160">
        <f t="shared" si="2"/>
        <v>2411.3368651619962</v>
      </c>
      <c r="Z43" s="3"/>
      <c r="AA43" s="3"/>
      <c r="AB43" s="3"/>
      <c r="AC43" s="3"/>
    </row>
    <row r="44" spans="1:29" ht="15.75" x14ac:dyDescent="0.25">
      <c r="A44" s="214" t="s">
        <v>321</v>
      </c>
      <c r="B44" s="52"/>
      <c r="C44" s="53" t="s">
        <v>16</v>
      </c>
      <c r="D44" s="52"/>
      <c r="E44" s="54"/>
      <c r="F44" s="52">
        <f>F42*I44</f>
        <v>178.42349999999999</v>
      </c>
      <c r="G44" s="58">
        <v>6.3</v>
      </c>
      <c r="H44" s="58">
        <f>'SALARIS CONVENI 2024'!$D$9</f>
        <v>1.4314274941995362</v>
      </c>
      <c r="I44" s="430">
        <v>0.2</v>
      </c>
      <c r="J44" s="56"/>
      <c r="K44" s="56"/>
      <c r="L44" s="328"/>
      <c r="M44" s="51"/>
      <c r="N44" s="329">
        <f>(H44*F44)/G44</f>
        <v>40.539730716081102</v>
      </c>
      <c r="O44" s="688"/>
      <c r="P44" s="271">
        <v>1552.2249999999999</v>
      </c>
      <c r="Q44" s="44"/>
      <c r="R44" s="44"/>
      <c r="S44" s="44">
        <f>N44*G44</f>
        <v>255.40030351131094</v>
      </c>
      <c r="T44" s="696">
        <f t="shared" si="1"/>
        <v>83.005098641176062</v>
      </c>
      <c r="U44" s="45">
        <f t="shared" si="5"/>
        <v>338.405402152487</v>
      </c>
      <c r="V44" s="492"/>
      <c r="X44" s="160">
        <f t="shared" si="2"/>
        <v>338.405402152487</v>
      </c>
      <c r="Z44" s="3"/>
      <c r="AA44" s="3"/>
      <c r="AB44" s="3"/>
      <c r="AC44" s="3"/>
    </row>
    <row r="45" spans="1:29" ht="15.75" x14ac:dyDescent="0.25">
      <c r="A45" s="214" t="s">
        <v>319</v>
      </c>
      <c r="B45" s="52"/>
      <c r="C45" s="53" t="s">
        <v>16</v>
      </c>
      <c r="D45" s="52"/>
      <c r="E45" s="54"/>
      <c r="F45" s="52">
        <f>F42*I45</f>
        <v>356.84699999999998</v>
      </c>
      <c r="G45" s="58">
        <f>G44</f>
        <v>6.3</v>
      </c>
      <c r="H45" s="58">
        <f>H40</f>
        <v>3.5785687354988402</v>
      </c>
      <c r="I45" s="430">
        <v>0.4</v>
      </c>
      <c r="J45" s="56"/>
      <c r="K45" s="56"/>
      <c r="L45" s="328"/>
      <c r="M45" s="51"/>
      <c r="N45" s="329">
        <f>(F45*H45)/G45</f>
        <v>202.69865358040548</v>
      </c>
      <c r="O45" s="688"/>
      <c r="P45" s="271">
        <v>7766.7293823529408</v>
      </c>
      <c r="Q45" s="44"/>
      <c r="R45" s="44"/>
      <c r="S45" s="44">
        <f>N45*G45</f>
        <v>1277.0015175565545</v>
      </c>
      <c r="T45" s="696">
        <f t="shared" si="1"/>
        <v>415.02549320588025</v>
      </c>
      <c r="U45" s="45">
        <f t="shared" si="5"/>
        <v>1692.0270107624347</v>
      </c>
      <c r="V45" s="492"/>
      <c r="X45" s="160">
        <f t="shared" si="2"/>
        <v>1692.0270107624347</v>
      </c>
      <c r="Z45" s="3"/>
      <c r="AA45" s="3"/>
      <c r="AB45" s="3"/>
      <c r="AC45" s="3"/>
    </row>
    <row r="46" spans="1:29" ht="15.75" x14ac:dyDescent="0.25">
      <c r="A46" s="215" t="s">
        <v>303</v>
      </c>
      <c r="B46" s="52"/>
      <c r="C46" s="444" t="s">
        <v>323</v>
      </c>
      <c r="D46" s="52"/>
      <c r="E46" s="54"/>
      <c r="F46" s="427">
        <v>10200</v>
      </c>
      <c r="G46" s="58">
        <f>F46/1700</f>
        <v>6</v>
      </c>
      <c r="H46" s="58"/>
      <c r="I46" s="430"/>
      <c r="J46" s="56"/>
      <c r="K46" s="56"/>
      <c r="L46" s="328"/>
      <c r="M46" s="51"/>
      <c r="N46" s="329">
        <v>24667.8</v>
      </c>
      <c r="O46" s="667">
        <f>N46+N47+N48+N49</f>
        <v>31056.632088167051</v>
      </c>
      <c r="P46" s="271">
        <f>O46</f>
        <v>31056.632088167051</v>
      </c>
      <c r="Q46" s="44"/>
      <c r="R46" s="44" t="s">
        <v>424</v>
      </c>
      <c r="S46" s="44">
        <f>P46*G46</f>
        <v>186339.7925290023</v>
      </c>
      <c r="T46" s="696">
        <f t="shared" si="1"/>
        <v>60560.432571925747</v>
      </c>
      <c r="U46" s="45">
        <f>SUM(S46:T46)</f>
        <v>246900.22510092804</v>
      </c>
      <c r="V46" s="492"/>
      <c r="X46" s="160">
        <f t="shared" si="2"/>
        <v>246900.22510092804</v>
      </c>
      <c r="Z46" s="3"/>
      <c r="AA46" s="3"/>
      <c r="AB46" s="3"/>
      <c r="AC46" s="3"/>
    </row>
    <row r="47" spans="1:29" ht="15.75" x14ac:dyDescent="0.25">
      <c r="A47" s="618" t="s">
        <v>293</v>
      </c>
      <c r="B47" s="52"/>
      <c r="C47" s="53"/>
      <c r="D47" s="52"/>
      <c r="E47" s="54"/>
      <c r="F47" s="52">
        <f>F46*I47</f>
        <v>2040</v>
      </c>
      <c r="G47" s="58"/>
      <c r="H47" s="58">
        <f>'SALARIS CONVENI 2024'!$D$9</f>
        <v>1.4314274941995362</v>
      </c>
      <c r="I47" s="430">
        <v>0.2</v>
      </c>
      <c r="J47" s="56"/>
      <c r="K47" s="56"/>
      <c r="L47" s="328"/>
      <c r="M47" s="51"/>
      <c r="N47" s="329">
        <f>(F47/6)*H47</f>
        <v>486.68534802784228</v>
      </c>
      <c r="O47" s="688"/>
      <c r="P47" s="688"/>
      <c r="Q47" s="44"/>
      <c r="R47" s="44"/>
      <c r="S47" s="44"/>
      <c r="T47" s="696">
        <f t="shared" si="1"/>
        <v>0</v>
      </c>
      <c r="U47" s="45">
        <f t="shared" ref="U47:U49" si="6">P47</f>
        <v>0</v>
      </c>
      <c r="V47" s="492"/>
      <c r="X47" s="160">
        <f t="shared" si="2"/>
        <v>0</v>
      </c>
      <c r="Z47" s="3"/>
      <c r="AA47" s="3"/>
      <c r="AB47" s="3"/>
      <c r="AC47" s="3"/>
    </row>
    <row r="48" spans="1:29" ht="15.75" x14ac:dyDescent="0.25">
      <c r="A48" s="618" t="s">
        <v>282</v>
      </c>
      <c r="B48" s="52"/>
      <c r="C48" s="53"/>
      <c r="D48" s="52"/>
      <c r="E48" s="54"/>
      <c r="F48" s="52">
        <f>F46*I48</f>
        <v>4080</v>
      </c>
      <c r="G48" s="58"/>
      <c r="H48" s="58">
        <f>'SALARIS CONVENI 2024'!$E$9</f>
        <v>3.5785687354988402</v>
      </c>
      <c r="I48" s="421">
        <v>0.4</v>
      </c>
      <c r="J48" s="56"/>
      <c r="K48" s="56"/>
      <c r="L48" s="328"/>
      <c r="M48" s="51"/>
      <c r="N48" s="329">
        <f>(F48/6)*H48</f>
        <v>2433.4267401392112</v>
      </c>
      <c r="O48" s="688"/>
      <c r="P48" s="688"/>
      <c r="Q48" s="44"/>
      <c r="R48" s="44"/>
      <c r="S48" s="44"/>
      <c r="T48" s="696">
        <f t="shared" si="1"/>
        <v>0</v>
      </c>
      <c r="U48" s="45">
        <f t="shared" si="6"/>
        <v>0</v>
      </c>
      <c r="V48" s="492"/>
      <c r="W48" s="20"/>
      <c r="X48" s="160">
        <f t="shared" si="2"/>
        <v>0</v>
      </c>
      <c r="Z48" s="3"/>
      <c r="AA48" s="3"/>
      <c r="AB48" s="3"/>
      <c r="AC48" s="3"/>
    </row>
    <row r="49" spans="1:29" ht="15.75" x14ac:dyDescent="0.25">
      <c r="A49" s="618" t="s">
        <v>296</v>
      </c>
      <c r="B49" s="52"/>
      <c r="C49" s="53"/>
      <c r="D49" s="52"/>
      <c r="E49" s="54"/>
      <c r="F49" s="52">
        <v>12</v>
      </c>
      <c r="G49" s="58"/>
      <c r="H49" s="58">
        <v>289.06</v>
      </c>
      <c r="I49" s="421"/>
      <c r="J49" s="56"/>
      <c r="K49" s="56"/>
      <c r="L49" s="328"/>
      <c r="M49" s="51"/>
      <c r="N49" s="329">
        <f>F49*H49</f>
        <v>3468.7200000000003</v>
      </c>
      <c r="O49" s="688"/>
      <c r="P49" s="688"/>
      <c r="Q49" s="44"/>
      <c r="R49" s="44"/>
      <c r="S49" s="44"/>
      <c r="T49" s="696">
        <f t="shared" si="1"/>
        <v>0</v>
      </c>
      <c r="U49" s="45">
        <f t="shared" si="6"/>
        <v>0</v>
      </c>
      <c r="V49" s="492"/>
      <c r="X49" s="160">
        <f t="shared" si="2"/>
        <v>0</v>
      </c>
      <c r="Z49" s="3"/>
      <c r="AA49" s="3"/>
      <c r="AB49" s="3"/>
      <c r="AC49" s="3"/>
    </row>
    <row r="50" spans="1:29" ht="15.75" x14ac:dyDescent="0.25">
      <c r="A50" s="214" t="s">
        <v>329</v>
      </c>
      <c r="B50" s="52"/>
      <c r="C50" s="53"/>
      <c r="D50" s="52"/>
      <c r="E50" s="54"/>
      <c r="F50" s="52">
        <f>(F46/12)</f>
        <v>850</v>
      </c>
      <c r="G50" s="58">
        <v>6</v>
      </c>
      <c r="H50" s="58"/>
      <c r="I50" s="421"/>
      <c r="J50" s="56"/>
      <c r="K50" s="56"/>
      <c r="L50" s="328"/>
      <c r="M50" s="51"/>
      <c r="N50" s="329">
        <f>N38/14</f>
        <v>1761.9857142857143</v>
      </c>
      <c r="O50" s="688"/>
      <c r="P50" s="271">
        <f>N50</f>
        <v>1761.9857142857143</v>
      </c>
      <c r="Q50" s="44"/>
      <c r="R50" s="44"/>
      <c r="S50" s="44">
        <f>P50*G50</f>
        <v>10571.914285714285</v>
      </c>
      <c r="T50" s="696">
        <f t="shared" si="1"/>
        <v>3435.872142857143</v>
      </c>
      <c r="U50" s="45">
        <f>S50+T50</f>
        <v>14007.786428571428</v>
      </c>
      <c r="V50" s="492"/>
      <c r="W50" s="20">
        <f>U50+U51+U52+U53</f>
        <v>18239.589143913654</v>
      </c>
      <c r="X50" s="160">
        <f t="shared" si="2"/>
        <v>14007.786428571428</v>
      </c>
      <c r="Z50" s="3"/>
      <c r="AA50" s="3"/>
      <c r="AB50" s="3"/>
      <c r="AC50" s="3"/>
    </row>
    <row r="51" spans="1:29" ht="15.75" x14ac:dyDescent="0.25">
      <c r="A51" s="436" t="s">
        <v>293</v>
      </c>
      <c r="B51" s="47"/>
      <c r="C51" s="48"/>
      <c r="D51" s="47"/>
      <c r="E51" s="49"/>
      <c r="F51" s="47">
        <f>F50*I51</f>
        <v>170</v>
      </c>
      <c r="G51" s="246">
        <v>6</v>
      </c>
      <c r="H51" s="246">
        <v>1.43</v>
      </c>
      <c r="I51" s="445">
        <v>0.2</v>
      </c>
      <c r="J51" s="446"/>
      <c r="K51" s="446"/>
      <c r="L51" s="610"/>
      <c r="M51" s="51"/>
      <c r="N51" s="329">
        <f>(F51*H51)/G51</f>
        <v>40.516666666666666</v>
      </c>
      <c r="O51" s="688"/>
      <c r="P51" s="447">
        <f>$N$51</f>
        <v>40.516666666666666</v>
      </c>
      <c r="Q51" s="448"/>
      <c r="R51" s="448"/>
      <c r="S51" s="448">
        <f>P51*G51</f>
        <v>243.1</v>
      </c>
      <c r="T51" s="696">
        <f t="shared" si="1"/>
        <v>79.007500000000007</v>
      </c>
      <c r="U51" s="45">
        <f t="shared" ref="U51:U53" si="7">S51+T51</f>
        <v>322.10750000000002</v>
      </c>
      <c r="V51" s="492"/>
      <c r="X51" s="160">
        <f t="shared" si="2"/>
        <v>322.10750000000002</v>
      </c>
      <c r="Z51" s="3"/>
      <c r="AA51" s="3"/>
      <c r="AB51" s="3"/>
      <c r="AC51" s="3"/>
    </row>
    <row r="52" spans="1:29" ht="15.75" x14ac:dyDescent="0.25">
      <c r="A52" s="214" t="s">
        <v>319</v>
      </c>
      <c r="B52" s="52"/>
      <c r="C52" s="53"/>
      <c r="D52" s="52"/>
      <c r="E52" s="54"/>
      <c r="F52" s="52">
        <f>F50*40%</f>
        <v>340</v>
      </c>
      <c r="G52" s="58">
        <v>6</v>
      </c>
      <c r="H52" s="58">
        <f>'SALARIS CONVENI 2024'!$E$9</f>
        <v>3.5785687354988402</v>
      </c>
      <c r="I52" s="421"/>
      <c r="J52" s="56"/>
      <c r="K52" s="56"/>
      <c r="L52" s="328"/>
      <c r="M52" s="51"/>
      <c r="N52" s="329">
        <f>(F52*H52)/G52</f>
        <v>202.78556167826761</v>
      </c>
      <c r="O52" s="688"/>
      <c r="P52" s="689">
        <f>N52</f>
        <v>202.78556167826761</v>
      </c>
      <c r="Q52" s="247"/>
      <c r="R52" s="247"/>
      <c r="S52" s="247">
        <f>P52*G53</f>
        <v>1216.7133700696056</v>
      </c>
      <c r="T52" s="696">
        <f t="shared" si="1"/>
        <v>395.43184527262184</v>
      </c>
      <c r="U52" s="45">
        <f t="shared" si="7"/>
        <v>1612.1452153422274</v>
      </c>
      <c r="V52" s="492"/>
      <c r="X52" s="160">
        <f t="shared" si="2"/>
        <v>1612.1452153422274</v>
      </c>
    </row>
    <row r="53" spans="1:29" ht="15.75" x14ac:dyDescent="0.25">
      <c r="A53" s="232" t="s">
        <v>328</v>
      </c>
      <c r="B53" s="7"/>
      <c r="C53" s="7"/>
      <c r="D53" s="7"/>
      <c r="E53" s="7"/>
      <c r="F53" s="119">
        <v>1</v>
      </c>
      <c r="G53" s="457">
        <v>6</v>
      </c>
      <c r="H53" s="458">
        <v>289</v>
      </c>
      <c r="I53" s="7"/>
      <c r="J53" s="7"/>
      <c r="K53" s="7"/>
      <c r="L53" s="365"/>
      <c r="M53" s="7"/>
      <c r="N53" s="329">
        <f>H53</f>
        <v>289</v>
      </c>
      <c r="O53" s="688"/>
      <c r="P53" s="689">
        <f>N53</f>
        <v>289</v>
      </c>
      <c r="Q53" s="247"/>
      <c r="R53" s="247"/>
      <c r="S53" s="247">
        <f>G53*H53</f>
        <v>1734</v>
      </c>
      <c r="T53" s="696">
        <f t="shared" si="1"/>
        <v>563.55000000000007</v>
      </c>
      <c r="U53" s="45">
        <f t="shared" si="7"/>
        <v>2297.5500000000002</v>
      </c>
      <c r="V53" s="492"/>
      <c r="X53" s="160">
        <f t="shared" si="2"/>
        <v>2297.5500000000002</v>
      </c>
    </row>
    <row r="54" spans="1:29" x14ac:dyDescent="0.25">
      <c r="A54" s="395" t="s">
        <v>124</v>
      </c>
      <c r="B54" s="395"/>
      <c r="C54" s="395"/>
      <c r="D54" s="395"/>
      <c r="E54" s="395"/>
      <c r="F54" s="395"/>
      <c r="G54" s="395"/>
      <c r="H54" s="395"/>
      <c r="I54" s="395"/>
      <c r="J54" s="395"/>
      <c r="K54" s="395"/>
      <c r="L54" s="395"/>
      <c r="M54" s="395"/>
      <c r="N54" s="395"/>
      <c r="O54" s="395">
        <f>O26+O30+O38+O46</f>
        <v>122147.57725466143</v>
      </c>
      <c r="P54" s="395">
        <f>P25+P26+P30</f>
        <v>78762.34</v>
      </c>
      <c r="Q54" s="395"/>
      <c r="R54" s="395"/>
      <c r="S54" s="748">
        <f>SUM(S55:S62)</f>
        <v>361839.62332877587</v>
      </c>
      <c r="T54" s="395"/>
      <c r="U54" s="745">
        <f>SUM(U55:U67)</f>
        <v>482488.55078404502</v>
      </c>
      <c r="V54" s="653">
        <f>V25+U54</f>
        <v>482488.55078404502</v>
      </c>
      <c r="X54" s="160">
        <f t="shared" si="2"/>
        <v>482488.55078404502</v>
      </c>
      <c r="Z54" s="3"/>
      <c r="AA54" s="3"/>
      <c r="AB54" s="3"/>
      <c r="AC54" s="3"/>
    </row>
    <row r="55" spans="1:29" x14ac:dyDescent="0.25">
      <c r="A55" s="435" t="s">
        <v>304</v>
      </c>
      <c r="B55" s="404"/>
      <c r="C55" s="405"/>
      <c r="D55" s="404"/>
      <c r="E55" s="406"/>
      <c r="F55" s="404">
        <v>6800</v>
      </c>
      <c r="G55" s="434">
        <f>F55/1700</f>
        <v>4</v>
      </c>
      <c r="H55" s="434"/>
      <c r="I55" s="434"/>
      <c r="J55" s="408"/>
      <c r="K55" s="408"/>
      <c r="L55" s="409"/>
      <c r="M55" s="620">
        <v>26010.48</v>
      </c>
      <c r="N55" s="614">
        <f>N46</f>
        <v>24667.8</v>
      </c>
      <c r="O55" s="667">
        <f>N55+N56</f>
        <v>25782.84</v>
      </c>
      <c r="P55" s="412">
        <f>IF(M55&gt;O55,M55,O55)</f>
        <v>26010.48</v>
      </c>
      <c r="Q55" s="413"/>
      <c r="R55" s="413"/>
      <c r="S55" s="413">
        <v>105462.6</v>
      </c>
      <c r="T55" s="696">
        <f t="shared" si="1"/>
        <v>34275.345000000001</v>
      </c>
      <c r="U55" s="414">
        <f>SUM(S55:T55)</f>
        <v>139737.94500000001</v>
      </c>
      <c r="V55" s="492"/>
      <c r="X55" s="160">
        <f t="shared" si="2"/>
        <v>139737.94500000001</v>
      </c>
      <c r="Z55" s="3"/>
      <c r="AA55" s="3"/>
      <c r="AB55" s="3"/>
      <c r="AC55" s="3"/>
    </row>
    <row r="56" spans="1:29" ht="15.75" x14ac:dyDescent="0.25">
      <c r="A56" s="435" t="s">
        <v>301</v>
      </c>
      <c r="B56" s="404"/>
      <c r="C56" s="405"/>
      <c r="D56" s="404"/>
      <c r="E56" s="406"/>
      <c r="F56" s="404">
        <v>12</v>
      </c>
      <c r="G56" s="434">
        <v>1</v>
      </c>
      <c r="H56" s="407">
        <v>92.92</v>
      </c>
      <c r="I56" s="434"/>
      <c r="J56" s="408"/>
      <c r="K56" s="408"/>
      <c r="L56" s="409"/>
      <c r="M56" s="620">
        <v>37239.96</v>
      </c>
      <c r="N56" s="614">
        <f>F56*G56*H56</f>
        <v>1115.04</v>
      </c>
      <c r="O56" s="688"/>
      <c r="P56" s="688"/>
      <c r="Q56" s="413"/>
      <c r="R56" s="413"/>
      <c r="S56" s="413">
        <f>M56*G56</f>
        <v>37239.96</v>
      </c>
      <c r="T56" s="696">
        <f t="shared" si="1"/>
        <v>12102.987000000001</v>
      </c>
      <c r="U56" s="414">
        <f t="shared" ref="U56:U64" si="8">SUM(S56:T56)</f>
        <v>49342.947</v>
      </c>
      <c r="V56" s="492"/>
      <c r="X56" s="160">
        <f t="shared" si="2"/>
        <v>49342.947</v>
      </c>
      <c r="Z56" s="3"/>
      <c r="AA56" s="3"/>
      <c r="AB56" s="3"/>
      <c r="AC56" s="3"/>
    </row>
    <row r="57" spans="1:29" ht="15.75" x14ac:dyDescent="0.25">
      <c r="A57" s="214" t="s">
        <v>493</v>
      </c>
      <c r="B57" s="52"/>
      <c r="C57" s="53"/>
      <c r="D57" s="52"/>
      <c r="E57" s="54"/>
      <c r="F57" s="52">
        <v>1226.83</v>
      </c>
      <c r="G57" s="58">
        <f>(F57/((1700/12)*3.33))</f>
        <v>2.6005935347111815</v>
      </c>
      <c r="H57" s="58"/>
      <c r="I57" s="58"/>
      <c r="J57" s="56"/>
      <c r="K57" s="56"/>
      <c r="L57" s="328"/>
      <c r="M57" s="670"/>
      <c r="N57" s="269">
        <f>(24667.8/12)*3.3</f>
        <v>6783.6449999999995</v>
      </c>
      <c r="O57" s="688"/>
      <c r="P57" s="665">
        <f>N57</f>
        <v>6783.6449999999995</v>
      </c>
      <c r="Q57" s="44"/>
      <c r="R57" s="44"/>
      <c r="S57" s="44">
        <f>P57*G57</f>
        <v>17641.503328775831</v>
      </c>
      <c r="T57" s="696">
        <f t="shared" si="1"/>
        <v>5733.4885818521452</v>
      </c>
      <c r="U57" s="414">
        <f t="shared" si="8"/>
        <v>23374.991910627978</v>
      </c>
      <c r="V57" s="492"/>
      <c r="X57" s="160">
        <f t="shared" si="2"/>
        <v>23374.991910627978</v>
      </c>
      <c r="Z57" s="3"/>
      <c r="AA57" s="3"/>
      <c r="AB57" s="3"/>
      <c r="AC57" s="3"/>
    </row>
    <row r="58" spans="1:29" x14ac:dyDescent="0.25">
      <c r="A58" s="214" t="s">
        <v>306</v>
      </c>
      <c r="B58" s="52"/>
      <c r="C58" s="53"/>
      <c r="D58" s="52"/>
      <c r="E58" s="54"/>
      <c r="F58" s="804">
        <f>1700*2</f>
        <v>3400</v>
      </c>
      <c r="G58" s="805">
        <v>2</v>
      </c>
      <c r="H58" s="58"/>
      <c r="I58" s="55"/>
      <c r="J58" s="56"/>
      <c r="K58" s="56"/>
      <c r="L58" s="328"/>
      <c r="M58" s="619">
        <v>22765.439999999999</v>
      </c>
      <c r="N58" s="269">
        <v>22319.08</v>
      </c>
      <c r="O58" s="667">
        <f>N58</f>
        <v>22319.08</v>
      </c>
      <c r="P58" s="271">
        <f>IF(M58&gt;O58,M58,O58)</f>
        <v>22765.439999999999</v>
      </c>
      <c r="Q58" s="44"/>
      <c r="R58" s="44"/>
      <c r="S58" s="44">
        <f>N58*G58</f>
        <v>44638.16</v>
      </c>
      <c r="T58" s="696">
        <f t="shared" si="1"/>
        <v>14507.402000000002</v>
      </c>
      <c r="U58" s="414">
        <f t="shared" si="8"/>
        <v>59145.562000000005</v>
      </c>
      <c r="V58" s="492"/>
      <c r="X58" s="160">
        <f t="shared" si="2"/>
        <v>59145.562000000005</v>
      </c>
      <c r="Z58" s="3"/>
      <c r="AA58" s="3"/>
      <c r="AB58" s="3"/>
      <c r="AC58" s="3"/>
    </row>
    <row r="59" spans="1:29" x14ac:dyDescent="0.25">
      <c r="A59" s="214" t="s">
        <v>307</v>
      </c>
      <c r="B59" s="52"/>
      <c r="C59" s="53"/>
      <c r="D59" s="52"/>
      <c r="E59" s="54"/>
      <c r="F59" s="52">
        <v>3400</v>
      </c>
      <c r="G59" s="58">
        <f t="shared" ref="G59:G62" si="9">F59/1700</f>
        <v>2</v>
      </c>
      <c r="H59" s="58"/>
      <c r="I59" s="55"/>
      <c r="J59" s="56"/>
      <c r="K59" s="56"/>
      <c r="L59" s="328"/>
      <c r="M59" s="615">
        <v>29299.08</v>
      </c>
      <c r="N59" s="269">
        <v>24667.8</v>
      </c>
      <c r="O59" s="667">
        <f>N59</f>
        <v>24667.8</v>
      </c>
      <c r="P59" s="271">
        <f>IF(M59&gt;O59,M59,O59)</f>
        <v>29299.08</v>
      </c>
      <c r="Q59" s="44"/>
      <c r="R59" s="44"/>
      <c r="S59" s="44">
        <f>P59*G59</f>
        <v>58598.16</v>
      </c>
      <c r="T59" s="696">
        <f t="shared" si="1"/>
        <v>19044.402000000002</v>
      </c>
      <c r="U59" s="414">
        <f t="shared" si="8"/>
        <v>77642.562000000005</v>
      </c>
      <c r="V59" s="492"/>
      <c r="X59" s="160">
        <f t="shared" si="2"/>
        <v>77642.562000000005</v>
      </c>
      <c r="Z59" s="3"/>
      <c r="AA59" s="3"/>
      <c r="AB59" s="3"/>
      <c r="AC59" s="3"/>
    </row>
    <row r="60" spans="1:29" x14ac:dyDescent="0.25">
      <c r="A60" s="214" t="s">
        <v>308</v>
      </c>
      <c r="B60" s="52"/>
      <c r="C60" s="53"/>
      <c r="D60" s="52"/>
      <c r="E60" s="54"/>
      <c r="F60" s="52">
        <v>1700</v>
      </c>
      <c r="G60" s="58">
        <f t="shared" si="9"/>
        <v>1</v>
      </c>
      <c r="H60" s="58"/>
      <c r="I60" s="55"/>
      <c r="J60" s="56"/>
      <c r="K60" s="56"/>
      <c r="L60" s="328"/>
      <c r="M60" s="615">
        <v>29299.08</v>
      </c>
      <c r="N60" s="269">
        <v>24667.8</v>
      </c>
      <c r="O60" s="667">
        <v>29299.08</v>
      </c>
      <c r="P60" s="271">
        <f>IF(M60&gt;O60,M60,O60)</f>
        <v>29299.08</v>
      </c>
      <c r="Q60" s="44"/>
      <c r="R60" s="44"/>
      <c r="S60" s="44">
        <f t="shared" ref="S60:S61" si="10">P60*G60</f>
        <v>29299.08</v>
      </c>
      <c r="T60" s="696">
        <f t="shared" si="1"/>
        <v>9522.2010000000009</v>
      </c>
      <c r="U60" s="414">
        <f t="shared" si="8"/>
        <v>38821.281000000003</v>
      </c>
      <c r="V60" s="492"/>
      <c r="X60" s="160">
        <f t="shared" si="2"/>
        <v>38821.281000000003</v>
      </c>
      <c r="Z60" s="3"/>
      <c r="AA60" s="3"/>
      <c r="AB60" s="3"/>
      <c r="AC60" s="3"/>
    </row>
    <row r="61" spans="1:29" x14ac:dyDescent="0.25">
      <c r="A61" s="436" t="s">
        <v>309</v>
      </c>
      <c r="B61" s="47"/>
      <c r="C61" s="48"/>
      <c r="D61" s="47">
        <v>7.56</v>
      </c>
      <c r="E61" s="49">
        <v>37.799999999999997</v>
      </c>
      <c r="F61" s="47">
        <v>3400</v>
      </c>
      <c r="G61" s="246">
        <f t="shared" si="9"/>
        <v>2</v>
      </c>
      <c r="H61" s="246"/>
      <c r="I61" s="246"/>
      <c r="J61" s="50"/>
      <c r="K61" s="50"/>
      <c r="L61" s="610"/>
      <c r="M61" s="619">
        <v>24149.52</v>
      </c>
      <c r="N61" s="269">
        <v>22319</v>
      </c>
      <c r="O61" s="667">
        <v>22765.439999999999</v>
      </c>
      <c r="P61" s="271">
        <f>IF(M61&gt;O61,M61,O61)</f>
        <v>24149.52</v>
      </c>
      <c r="Q61" s="247">
        <f>IF(L61&gt;P61,L61,P61)</f>
        <v>24149.52</v>
      </c>
      <c r="R61" s="677"/>
      <c r="S61" s="44">
        <f t="shared" si="10"/>
        <v>48299.040000000001</v>
      </c>
      <c r="T61" s="696">
        <f t="shared" si="1"/>
        <v>15697.188</v>
      </c>
      <c r="U61" s="414">
        <f t="shared" si="8"/>
        <v>63996.228000000003</v>
      </c>
      <c r="V61" s="492"/>
      <c r="X61" s="160">
        <f t="shared" si="2"/>
        <v>63996.228000000003</v>
      </c>
      <c r="Z61" s="3"/>
      <c r="AA61" s="3"/>
      <c r="AB61" s="3"/>
      <c r="AC61" s="3"/>
    </row>
    <row r="62" spans="1:29" x14ac:dyDescent="0.25">
      <c r="A62" s="436" t="s">
        <v>310</v>
      </c>
      <c r="B62" s="47"/>
      <c r="C62" s="48"/>
      <c r="D62" s="47"/>
      <c r="E62" s="49"/>
      <c r="F62" s="47">
        <v>1700</v>
      </c>
      <c r="G62" s="246">
        <f t="shared" si="9"/>
        <v>1</v>
      </c>
      <c r="H62" s="246"/>
      <c r="I62" s="246"/>
      <c r="J62" s="50"/>
      <c r="K62" s="50"/>
      <c r="L62" s="610"/>
      <c r="M62" s="615">
        <v>20661.12</v>
      </c>
      <c r="N62" s="269">
        <v>19546.099999999999</v>
      </c>
      <c r="O62" s="667">
        <f>N62+N64+N63</f>
        <v>20350.659266241299</v>
      </c>
      <c r="P62" s="271">
        <f>IF(M62&gt;O62,M62,O62)</f>
        <v>20661.12</v>
      </c>
      <c r="Q62" s="247"/>
      <c r="R62" s="677"/>
      <c r="S62" s="677">
        <f>P62</f>
        <v>20661.12</v>
      </c>
      <c r="T62" s="696">
        <f t="shared" si="1"/>
        <v>6714.8639999999996</v>
      </c>
      <c r="U62" s="414">
        <f t="shared" si="8"/>
        <v>27375.983999999997</v>
      </c>
      <c r="V62" s="492"/>
      <c r="X62" s="160">
        <f t="shared" si="2"/>
        <v>27375.983999999997</v>
      </c>
      <c r="Z62" s="3"/>
      <c r="AA62" s="3"/>
      <c r="AB62" s="3"/>
      <c r="AC62" s="3"/>
    </row>
    <row r="63" spans="1:29" ht="15.75" x14ac:dyDescent="0.25">
      <c r="A63" s="690" t="s">
        <v>293</v>
      </c>
      <c r="B63" s="47"/>
      <c r="C63" s="48"/>
      <c r="D63" s="47"/>
      <c r="E63" s="49"/>
      <c r="F63" s="47">
        <f>F62*I63</f>
        <v>340</v>
      </c>
      <c r="H63" s="246">
        <f>'SALARIS CONVENI 2024'!$D$12</f>
        <v>1.1337645011600928</v>
      </c>
      <c r="I63" s="445">
        <v>0.2</v>
      </c>
      <c r="J63" s="50"/>
      <c r="K63" s="50"/>
      <c r="L63" s="610"/>
      <c r="M63" s="615"/>
      <c r="N63" s="269">
        <f>F63*H63</f>
        <v>385.47993039443156</v>
      </c>
      <c r="O63" s="268"/>
      <c r="P63" s="688"/>
      <c r="Q63" s="247"/>
      <c r="R63" s="677"/>
      <c r="S63" s="677">
        <f>N63</f>
        <v>385.47993039443156</v>
      </c>
      <c r="T63" s="696">
        <f t="shared" si="1"/>
        <v>125.28097737819026</v>
      </c>
      <c r="U63" s="414">
        <f t="shared" si="8"/>
        <v>510.76090777262181</v>
      </c>
      <c r="V63" s="492"/>
      <c r="X63" s="160">
        <f t="shared" si="2"/>
        <v>510.76090777262181</v>
      </c>
      <c r="Z63" s="3"/>
      <c r="AA63" s="3"/>
      <c r="AB63" s="3"/>
      <c r="AC63" s="3"/>
    </row>
    <row r="64" spans="1:29" ht="15.75" x14ac:dyDescent="0.25">
      <c r="A64" s="690" t="s">
        <v>416</v>
      </c>
      <c r="B64" s="47"/>
      <c r="C64" s="48"/>
      <c r="D64" s="47"/>
      <c r="E64" s="49"/>
      <c r="F64" s="47">
        <f>(F62*I64)*0.25</f>
        <v>170</v>
      </c>
      <c r="H64" s="246">
        <f>'SALARIS CONVENI 2024'!$E$13</f>
        <v>2.4651725638051047</v>
      </c>
      <c r="I64" s="445">
        <v>0.4</v>
      </c>
      <c r="J64" s="50"/>
      <c r="K64" s="50"/>
      <c r="L64" s="610"/>
      <c r="M64" s="615"/>
      <c r="N64" s="269">
        <f>F64*H64</f>
        <v>419.07933584686782</v>
      </c>
      <c r="O64" s="268"/>
      <c r="P64" s="688"/>
      <c r="Q64" s="247"/>
      <c r="R64" s="677"/>
      <c r="S64" s="677">
        <f>N64</f>
        <v>419.07933584686782</v>
      </c>
      <c r="T64" s="696">
        <f t="shared" si="1"/>
        <v>136.20078415023204</v>
      </c>
      <c r="U64" s="414">
        <f t="shared" si="8"/>
        <v>555.28011999709986</v>
      </c>
      <c r="V64" s="492"/>
      <c r="X64" s="160">
        <f t="shared" si="2"/>
        <v>555.28011999709986</v>
      </c>
      <c r="Z64" s="3"/>
      <c r="AA64" s="3"/>
      <c r="AB64" s="3"/>
      <c r="AC64" s="3"/>
    </row>
    <row r="65" spans="1:29" x14ac:dyDescent="0.25">
      <c r="A65" s="436" t="s">
        <v>473</v>
      </c>
      <c r="B65" s="47"/>
      <c r="C65" s="464"/>
      <c r="D65" s="47"/>
      <c r="E65" s="49"/>
      <c r="F65" s="47">
        <f>F62/12</f>
        <v>141.66666666666666</v>
      </c>
      <c r="G65" s="246">
        <v>1</v>
      </c>
      <c r="H65" s="246"/>
      <c r="I65" s="246"/>
      <c r="J65" s="50"/>
      <c r="K65" s="50"/>
      <c r="L65" s="51"/>
      <c r="M65" s="51"/>
      <c r="N65" s="269">
        <f>(N62/14)</f>
        <v>1396.1499999999999</v>
      </c>
      <c r="O65" s="268"/>
      <c r="P65" s="271"/>
      <c r="Q65" s="247"/>
      <c r="R65" s="677"/>
      <c r="S65" s="677">
        <f>N65</f>
        <v>1396.1499999999999</v>
      </c>
      <c r="T65" s="696">
        <f t="shared" si="1"/>
        <v>453.74874999999997</v>
      </c>
      <c r="U65" s="414">
        <f>SUM(S65:T65)</f>
        <v>1849.8987499999998</v>
      </c>
      <c r="V65" s="492"/>
      <c r="X65" s="160">
        <f t="shared" si="2"/>
        <v>1849.8987499999998</v>
      </c>
      <c r="Z65" s="3"/>
      <c r="AA65" s="3"/>
      <c r="AB65" s="3"/>
      <c r="AC65" s="3"/>
    </row>
    <row r="66" spans="1:29" x14ac:dyDescent="0.25">
      <c r="A66" s="436" t="s">
        <v>293</v>
      </c>
      <c r="B66" s="47"/>
      <c r="C66" s="464"/>
      <c r="D66" s="47"/>
      <c r="E66" s="49"/>
      <c r="F66" s="47">
        <f>F65*0.2</f>
        <v>28.333333333333332</v>
      </c>
      <c r="G66" s="246"/>
      <c r="H66" s="246">
        <f>H63</f>
        <v>1.1337645011600928</v>
      </c>
      <c r="I66" s="246"/>
      <c r="J66" s="50"/>
      <c r="K66" s="50"/>
      <c r="L66" s="51"/>
      <c r="M66" s="51"/>
      <c r="N66" s="269">
        <f>F66*H66</f>
        <v>32.12332753286929</v>
      </c>
      <c r="O66" s="268"/>
      <c r="P66" s="271"/>
      <c r="Q66" s="247"/>
      <c r="R66" s="677"/>
      <c r="S66" s="677">
        <v>32.12332753286929</v>
      </c>
      <c r="T66" s="696">
        <f t="shared" si="1"/>
        <v>10.44008144818252</v>
      </c>
      <c r="U66" s="414">
        <f t="shared" ref="U66:U67" si="11">SUM(S66:T66)</f>
        <v>42.563408981051808</v>
      </c>
      <c r="V66" s="492"/>
      <c r="X66" s="160"/>
      <c r="Z66" s="3"/>
      <c r="AA66" s="3"/>
      <c r="AB66" s="3"/>
      <c r="AC66" s="3"/>
    </row>
    <row r="67" spans="1:29" x14ac:dyDescent="0.25">
      <c r="A67" s="436" t="s">
        <v>319</v>
      </c>
      <c r="B67" s="47"/>
      <c r="C67" s="464"/>
      <c r="D67" s="47"/>
      <c r="E67" s="49"/>
      <c r="F67" s="47">
        <f>F64*0.4</f>
        <v>68</v>
      </c>
      <c r="G67" s="246"/>
      <c r="H67" s="246">
        <f>H64</f>
        <v>2.4651725638051047</v>
      </c>
      <c r="I67" s="246"/>
      <c r="J67" s="50"/>
      <c r="K67" s="50"/>
      <c r="L67" s="51"/>
      <c r="M67" s="51"/>
      <c r="N67" s="269">
        <f>F67*H67</f>
        <v>167.63173433874712</v>
      </c>
      <c r="O67" s="268"/>
      <c r="P67" s="271"/>
      <c r="Q67" s="247"/>
      <c r="R67" s="677"/>
      <c r="S67" s="677">
        <v>69.846555974477965</v>
      </c>
      <c r="T67" s="696">
        <f t="shared" si="1"/>
        <v>22.70013069170534</v>
      </c>
      <c r="U67" s="414">
        <f t="shared" si="11"/>
        <v>92.546686666183305</v>
      </c>
      <c r="V67" s="492"/>
      <c r="X67" s="160"/>
      <c r="Z67" s="3"/>
      <c r="AA67" s="3"/>
      <c r="AB67" s="3"/>
      <c r="AC67" s="3"/>
    </row>
    <row r="68" spans="1:29" x14ac:dyDescent="0.25">
      <c r="A68" s="731" t="s">
        <v>314</v>
      </c>
      <c r="B68" s="731"/>
      <c r="C68" s="731"/>
      <c r="D68" s="731"/>
      <c r="E68" s="731"/>
      <c r="F68" s="731"/>
      <c r="G68" s="731"/>
      <c r="H68" s="731"/>
      <c r="I68" s="731"/>
      <c r="J68" s="731"/>
      <c r="K68" s="731"/>
      <c r="L68" s="731"/>
      <c r="M68" s="731"/>
      <c r="N68" s="731"/>
      <c r="O68" s="731">
        <f>SUM(O58:O65)</f>
        <v>119402.05926624131</v>
      </c>
      <c r="P68" s="731">
        <f>SUM(P57:P62)</f>
        <v>132957.88500000001</v>
      </c>
      <c r="Q68" s="731"/>
      <c r="R68" s="731"/>
      <c r="S68" s="725">
        <f>S69</f>
        <v>39092</v>
      </c>
      <c r="T68" s="731">
        <f t="shared" si="1"/>
        <v>12704.9</v>
      </c>
      <c r="U68" s="860">
        <f>SUM(U69)</f>
        <v>51796.9</v>
      </c>
      <c r="V68" s="654">
        <f>V54+U68</f>
        <v>534285.45078404504</v>
      </c>
      <c r="X68" s="160">
        <f t="shared" si="2"/>
        <v>51796.9</v>
      </c>
      <c r="Z68" s="3"/>
      <c r="AA68" s="3"/>
      <c r="AB68" s="3"/>
      <c r="AC68" s="3"/>
    </row>
    <row r="69" spans="1:29" ht="15.75" thickBot="1" x14ac:dyDescent="0.3">
      <c r="A69" s="481" t="s">
        <v>315</v>
      </c>
      <c r="B69" s="736"/>
      <c r="C69" s="737"/>
      <c r="D69" s="736"/>
      <c r="E69" s="738"/>
      <c r="F69" s="736">
        <v>3400</v>
      </c>
      <c r="G69" s="739">
        <f>F69/1700</f>
        <v>2</v>
      </c>
      <c r="H69" s="739"/>
      <c r="I69" s="740"/>
      <c r="J69" s="741"/>
      <c r="K69" s="741"/>
      <c r="L69" s="742"/>
      <c r="M69" s="742"/>
      <c r="N69" s="614">
        <v>19546</v>
      </c>
      <c r="O69" s="614"/>
      <c r="P69" s="743"/>
      <c r="Q69" s="744"/>
      <c r="R69" s="750">
        <f>(R21+R26+R38+R54+R68)/5</f>
        <v>0.14221851730477114</v>
      </c>
      <c r="S69" s="751">
        <f>N69*G69</f>
        <v>39092</v>
      </c>
      <c r="T69" s="751">
        <f>S69*B12</f>
        <v>12704.9</v>
      </c>
      <c r="U69" s="751">
        <f>S69+T69</f>
        <v>51796.9</v>
      </c>
      <c r="V69" s="492"/>
      <c r="X69" s="160">
        <v>51835.991999999998</v>
      </c>
      <c r="Z69" s="3"/>
      <c r="AA69" s="3"/>
      <c r="AB69" s="3"/>
      <c r="AC69" s="3"/>
    </row>
    <row r="70" spans="1:29" ht="28.5" customHeight="1" thickBot="1" x14ac:dyDescent="0.3">
      <c r="A70" s="225" t="s">
        <v>44</v>
      </c>
      <c r="B70" s="732"/>
      <c r="C70" s="732"/>
      <c r="D70" s="732"/>
      <c r="E70" s="733" t="e">
        <f>(E20+#REF!+E61)/5</f>
        <v>#REF!</v>
      </c>
      <c r="F70" s="734">
        <f>SUM(F20:F69)</f>
        <v>175246.40733333334</v>
      </c>
      <c r="G70" s="735">
        <f>G21+G26+G30+G34+G38+G46+G50</f>
        <v>90.515165985582769</v>
      </c>
      <c r="H70" s="733"/>
      <c r="I70" s="733"/>
      <c r="J70" s="336"/>
      <c r="K70" s="336"/>
      <c r="L70" s="333">
        <f>SUM(L20:L61)</f>
        <v>0</v>
      </c>
      <c r="M70" s="333"/>
      <c r="N70" s="333">
        <f>SUM(N20:N61)</f>
        <v>293735.23720756528</v>
      </c>
      <c r="O70" s="333"/>
      <c r="P70" s="337">
        <f>SUM(P20:P69)</f>
        <v>595301.13380375924</v>
      </c>
      <c r="Q70" s="679">
        <f>SUM(Q20:Q61)</f>
        <v>24149.52</v>
      </c>
      <c r="R70" s="752"/>
      <c r="S70" s="753">
        <f>S68+S54+S25+S20</f>
        <v>2264658.7929050862</v>
      </c>
      <c r="T70" s="754">
        <f>SUM(T21:T65)</f>
        <v>724024.43820568139</v>
      </c>
      <c r="U70" s="859">
        <f>S70+T70</f>
        <v>2988683.2311107675</v>
      </c>
      <c r="V70" s="655">
        <f>U68+U54+U25+U20</f>
        <v>3003723.9504726552</v>
      </c>
      <c r="W70" s="20"/>
      <c r="X70" s="577">
        <f>SUM(X21:X69)</f>
        <v>3537913.3831610526</v>
      </c>
      <c r="Y70" s="571"/>
      <c r="Z70" s="67"/>
      <c r="AA70" s="67"/>
      <c r="AB70" s="67"/>
      <c r="AC70" s="67"/>
    </row>
    <row r="71" spans="1:29" s="2" customFormat="1" ht="12.6" customHeight="1" thickBot="1" x14ac:dyDescent="0.3">
      <c r="A71" s="226"/>
      <c r="B71" s="68"/>
      <c r="C71" s="68"/>
      <c r="D71" s="68"/>
      <c r="E71" s="69"/>
      <c r="F71" s="70"/>
      <c r="G71" s="71"/>
      <c r="H71" s="69"/>
      <c r="I71" s="69"/>
      <c r="J71" s="72"/>
      <c r="K71" s="72"/>
      <c r="L71" s="73"/>
      <c r="M71" s="73"/>
      <c r="N71" s="73"/>
      <c r="O71" s="73"/>
      <c r="P71" s="74"/>
      <c r="Q71" s="75"/>
      <c r="R71" s="678"/>
      <c r="S71" s="678"/>
      <c r="T71" s="678"/>
      <c r="U71" s="248"/>
      <c r="V71" s="90"/>
      <c r="X71" s="578"/>
      <c r="Z71" s="5"/>
      <c r="AA71" s="5"/>
      <c r="AB71" s="5"/>
      <c r="AC71" s="5"/>
    </row>
    <row r="72" spans="1:29" ht="30" customHeight="1" thickTop="1" thickBot="1" x14ac:dyDescent="0.3">
      <c r="A72" s="222" t="s">
        <v>45</v>
      </c>
      <c r="B72" s="59"/>
      <c r="C72" s="59"/>
      <c r="D72" s="59"/>
      <c r="E72" s="60"/>
      <c r="F72" s="76"/>
      <c r="G72" s="62"/>
      <c r="H72" s="60"/>
      <c r="I72" s="60"/>
      <c r="J72" s="63"/>
      <c r="K72" s="334"/>
      <c r="L72" s="332"/>
      <c r="M72" s="332"/>
      <c r="N72" s="332"/>
      <c r="O72" s="332"/>
      <c r="P72" s="335"/>
      <c r="Q72" s="66"/>
      <c r="R72" s="679"/>
      <c r="S72" s="679"/>
      <c r="T72" s="679"/>
      <c r="U72" s="77" t="s">
        <v>46</v>
      </c>
      <c r="V72" s="90"/>
      <c r="X72" s="577"/>
      <c r="Y72" s="571"/>
      <c r="Z72" s="67"/>
      <c r="AA72" s="67"/>
      <c r="AB72" s="67"/>
      <c r="AC72" s="67"/>
    </row>
    <row r="73" spans="1:29" ht="14.45" customHeight="1" x14ac:dyDescent="0.25">
      <c r="A73" s="227" t="s">
        <v>17</v>
      </c>
      <c r="B73" s="79">
        <v>5.2299999999999999E-2</v>
      </c>
      <c r="C73" s="7"/>
      <c r="D73" s="78"/>
      <c r="E73" s="78"/>
      <c r="F73" s="78"/>
      <c r="G73" s="78"/>
      <c r="H73" s="78"/>
      <c r="I73" s="78"/>
      <c r="J73" s="338"/>
      <c r="K73" s="78"/>
      <c r="L73" s="80">
        <f>P70</f>
        <v>595301.13380375924</v>
      </c>
      <c r="M73" s="80"/>
      <c r="N73" s="330"/>
      <c r="O73" s="330"/>
      <c r="P73" s="749">
        <f>S70</f>
        <v>2264658.7929050862</v>
      </c>
      <c r="Q73" s="339" t="e">
        <f>B73*#REF!</f>
        <v>#REF!</v>
      </c>
      <c r="R73" s="339"/>
      <c r="S73" s="339">
        <f>P73*B73</f>
        <v>118441.65486893601</v>
      </c>
      <c r="T73" s="339">
        <f>S73*32.5%</f>
        <v>38493.537832404203</v>
      </c>
      <c r="U73" s="81">
        <f>SUM(S73:T73)</f>
        <v>156935.19270134022</v>
      </c>
      <c r="V73" s="110"/>
      <c r="W73" s="17"/>
      <c r="X73" s="81"/>
      <c r="Z73" s="3"/>
      <c r="AA73" s="3"/>
      <c r="AB73" s="3"/>
      <c r="AC73" s="3"/>
    </row>
    <row r="74" spans="1:29" x14ac:dyDescent="0.25">
      <c r="A74" s="227" t="s">
        <v>18</v>
      </c>
      <c r="B74" s="79">
        <v>0.02</v>
      </c>
      <c r="C74" s="7"/>
      <c r="D74" s="78"/>
      <c r="E74" s="78"/>
      <c r="F74" s="78"/>
      <c r="G74" s="78"/>
      <c r="H74" s="78"/>
      <c r="I74" s="78"/>
      <c r="J74" s="338"/>
      <c r="K74" s="78"/>
      <c r="L74" s="80" t="e">
        <f>#REF!</f>
        <v>#REF!</v>
      </c>
      <c r="M74" s="80"/>
      <c r="N74" s="331"/>
      <c r="O74" s="331"/>
      <c r="P74" s="749">
        <f>S70</f>
        <v>2264658.7929050862</v>
      </c>
      <c r="Q74" s="339">
        <f>N74*B74</f>
        <v>0</v>
      </c>
      <c r="R74" s="339"/>
      <c r="S74" s="339">
        <f t="shared" ref="S74:S75" si="12">P74*B74</f>
        <v>45293.175858101727</v>
      </c>
      <c r="T74" s="339"/>
      <c r="U74" s="81">
        <f>S74+T74</f>
        <v>45293.175858101727</v>
      </c>
      <c r="V74" s="110"/>
      <c r="W74" s="82">
        <v>5105.0404010595685</v>
      </c>
      <c r="X74" s="81"/>
      <c r="Z74" s="3"/>
      <c r="AA74" s="3"/>
      <c r="AB74" s="3"/>
      <c r="AC74" s="3"/>
    </row>
    <row r="75" spans="1:29" ht="15.75" thickBot="1" x14ac:dyDescent="0.3">
      <c r="A75" s="227" t="s">
        <v>407</v>
      </c>
      <c r="B75" s="79">
        <v>7.6249999999999998E-2</v>
      </c>
      <c r="C75" s="7"/>
      <c r="D75" s="78"/>
      <c r="E75" s="84"/>
      <c r="F75" s="78"/>
      <c r="G75" s="78"/>
      <c r="H75" s="78"/>
      <c r="I75" s="78"/>
      <c r="J75" s="338"/>
      <c r="K75" s="78"/>
      <c r="L75" s="80" t="e">
        <f>#REF!</f>
        <v>#REF!</v>
      </c>
      <c r="M75" s="80"/>
      <c r="N75" s="331"/>
      <c r="O75" s="331"/>
      <c r="P75" s="749">
        <f>S70</f>
        <v>2264658.7929050862</v>
      </c>
      <c r="Q75" s="339">
        <f>N75*B75</f>
        <v>0</v>
      </c>
      <c r="R75" s="339"/>
      <c r="S75" s="339">
        <f t="shared" si="12"/>
        <v>172680.23295901282</v>
      </c>
      <c r="T75" s="339">
        <f>S75*32.5%</f>
        <v>56121.075711679172</v>
      </c>
      <c r="U75" s="81">
        <f>SUM(S75:T75)</f>
        <v>228801.308670692</v>
      </c>
      <c r="V75" s="110"/>
      <c r="W75" s="82">
        <v>10461.148362826985</v>
      </c>
      <c r="X75" s="81"/>
      <c r="Z75" s="3"/>
      <c r="AA75" s="3"/>
      <c r="AB75" s="3"/>
      <c r="AC75" s="3"/>
    </row>
    <row r="76" spans="1:29" ht="24" customHeight="1" thickTop="1" thickBot="1" x14ac:dyDescent="0.3">
      <c r="A76" s="225" t="s">
        <v>47</v>
      </c>
      <c r="B76" s="86">
        <f>AVERAGE(B73:B75)</f>
        <v>4.9516666666666674E-2</v>
      </c>
      <c r="C76" s="59"/>
      <c r="D76" s="59"/>
      <c r="E76" s="60"/>
      <c r="F76" s="76"/>
      <c r="G76" s="62"/>
      <c r="H76" s="60"/>
      <c r="I76" s="60"/>
      <c r="J76" s="63"/>
      <c r="K76" s="336"/>
      <c r="L76" s="333" t="e">
        <f>SUM(L73:L75)</f>
        <v>#REF!</v>
      </c>
      <c r="M76" s="333"/>
      <c r="N76" s="333">
        <f>SUM(N73:N75)</f>
        <v>0</v>
      </c>
      <c r="O76" s="333"/>
      <c r="P76" s="337">
        <f>SUM(P73:P75)</f>
        <v>6793976.3787152581</v>
      </c>
      <c r="Q76" s="66" t="e">
        <f>SUM(Q73:Q75)</f>
        <v>#REF!</v>
      </c>
      <c r="R76" s="752"/>
      <c r="S76" s="757"/>
      <c r="T76" s="758"/>
      <c r="U76" s="756">
        <f>SUM(U73:U75)</f>
        <v>431029.67723013391</v>
      </c>
      <c r="V76" s="90">
        <f>V70+U76</f>
        <v>3434753.6277027894</v>
      </c>
      <c r="X76" s="579"/>
      <c r="Y76" s="572"/>
      <c r="Z76" s="88"/>
      <c r="AA76" s="88"/>
      <c r="AB76" s="88"/>
      <c r="AC76" s="88"/>
    </row>
    <row r="77" spans="1:29" ht="14.45" customHeight="1" thickBot="1" x14ac:dyDescent="0.3">
      <c r="A77" s="467"/>
      <c r="B77" s="468"/>
      <c r="C77" s="89"/>
      <c r="D77" s="89"/>
      <c r="E77" s="469"/>
      <c r="F77" s="470"/>
      <c r="G77" s="469"/>
      <c r="H77" s="469"/>
      <c r="I77" s="469"/>
      <c r="J77" s="471"/>
      <c r="K77" s="472"/>
      <c r="L77" s="473"/>
      <c r="M77" s="473"/>
      <c r="N77" s="473"/>
      <c r="O77" s="473"/>
      <c r="P77" s="473"/>
      <c r="Q77" s="75"/>
      <c r="R77" s="678"/>
      <c r="S77" s="678"/>
      <c r="T77" s="678"/>
      <c r="U77" s="90"/>
      <c r="V77" s="90"/>
      <c r="X77" s="579"/>
      <c r="Y77" s="572"/>
      <c r="Z77" s="88"/>
      <c r="AA77" s="88"/>
      <c r="AB77" s="88"/>
      <c r="AC77" s="88"/>
    </row>
    <row r="78" spans="1:29" ht="30" customHeight="1" thickTop="1" x14ac:dyDescent="0.25">
      <c r="A78" s="347" t="s">
        <v>48</v>
      </c>
      <c r="B78" s="348"/>
      <c r="C78" s="349"/>
      <c r="D78" s="350"/>
      <c r="E78" s="351" t="s">
        <v>312</v>
      </c>
      <c r="F78" s="351" t="s">
        <v>238</v>
      </c>
      <c r="G78" s="351" t="s">
        <v>49</v>
      </c>
      <c r="H78" s="351" t="s">
        <v>313</v>
      </c>
      <c r="I78" s="351"/>
      <c r="J78" s="350"/>
      <c r="K78" s="350"/>
      <c r="L78" s="350"/>
      <c r="M78" s="350"/>
      <c r="N78" s="350"/>
      <c r="O78" s="350"/>
      <c r="P78" s="350"/>
      <c r="Q78" s="350"/>
      <c r="R78" s="680"/>
      <c r="S78" s="680"/>
      <c r="T78" s="680"/>
      <c r="U78" s="352" t="s">
        <v>50</v>
      </c>
      <c r="V78" s="651"/>
      <c r="X78" s="7"/>
      <c r="Z78" s="3"/>
      <c r="AA78" s="3"/>
      <c r="AB78" s="3"/>
      <c r="AC78" s="3"/>
    </row>
    <row r="79" spans="1:29" s="2" customFormat="1" ht="30" customHeight="1" x14ac:dyDescent="0.25">
      <c r="A79" s="360" t="s">
        <v>311</v>
      </c>
      <c r="B79" s="358"/>
      <c r="C79" s="358"/>
      <c r="D79" s="358"/>
      <c r="E79" s="267">
        <v>8</v>
      </c>
      <c r="F79" s="267">
        <v>250</v>
      </c>
      <c r="G79" s="267">
        <v>23.25</v>
      </c>
      <c r="H79" s="267">
        <f>E79*G79</f>
        <v>186</v>
      </c>
      <c r="I79" s="359"/>
      <c r="J79" s="358"/>
      <c r="K79" s="358"/>
      <c r="L79" s="358"/>
      <c r="M79" s="358"/>
      <c r="N79" s="358"/>
      <c r="O79" s="358"/>
      <c r="P79" s="358"/>
      <c r="Q79" s="358"/>
      <c r="R79" s="358"/>
      <c r="S79" s="358"/>
      <c r="T79" s="358"/>
      <c r="U79" s="116">
        <f>F79*H79</f>
        <v>46500</v>
      </c>
      <c r="V79" s="99"/>
      <c r="X79" s="4"/>
      <c r="Z79" s="5"/>
      <c r="AA79" s="5"/>
      <c r="AB79" s="5"/>
      <c r="AC79" s="5"/>
    </row>
    <row r="80" spans="1:29" s="2" customFormat="1" ht="21.95" customHeight="1" x14ac:dyDescent="0.25">
      <c r="A80" s="360" t="s">
        <v>132</v>
      </c>
      <c r="B80" s="254"/>
      <c r="C80" s="254"/>
      <c r="D80" s="254"/>
      <c r="E80" s="278">
        <v>1</v>
      </c>
      <c r="F80" s="278">
        <v>650</v>
      </c>
      <c r="G80" s="361">
        <v>39</v>
      </c>
      <c r="H80" s="361">
        <f>G80</f>
        <v>39</v>
      </c>
      <c r="I80" s="279"/>
      <c r="J80" s="254"/>
      <c r="K80" s="254"/>
      <c r="L80" s="280"/>
      <c r="M80" s="280"/>
      <c r="N80" s="280"/>
      <c r="O80" s="280"/>
      <c r="P80" s="362"/>
      <c r="Q80" s="281">
        <f>F80*G80</f>
        <v>25350</v>
      </c>
      <c r="R80" s="281"/>
      <c r="S80" s="281"/>
      <c r="T80" s="281"/>
      <c r="U80" s="116">
        <f>H80*F80</f>
        <v>25350</v>
      </c>
      <c r="V80" s="99"/>
      <c r="X80" s="4"/>
      <c r="Z80" s="5"/>
      <c r="AA80" s="5"/>
      <c r="AB80" s="95">
        <f>U80</f>
        <v>25350</v>
      </c>
      <c r="AC80" s="96"/>
    </row>
    <row r="81" spans="1:29" s="2" customFormat="1" ht="21.95" customHeight="1" thickBot="1" x14ac:dyDescent="0.3">
      <c r="A81" s="277" t="s">
        <v>133</v>
      </c>
      <c r="B81" s="93"/>
      <c r="C81" s="93"/>
      <c r="D81" s="93"/>
      <c r="E81" s="94">
        <v>600</v>
      </c>
      <c r="F81" s="94">
        <v>400</v>
      </c>
      <c r="G81" s="255">
        <v>9.5000000000000001E-2</v>
      </c>
      <c r="H81" s="255">
        <f>F81*G81</f>
        <v>38</v>
      </c>
      <c r="I81" s="353"/>
      <c r="J81" s="93"/>
      <c r="K81" s="93"/>
      <c r="L81" s="354"/>
      <c r="M81" s="354"/>
      <c r="N81" s="354"/>
      <c r="O81" s="666"/>
      <c r="P81" s="355"/>
      <c r="Q81" s="356"/>
      <c r="R81" s="356"/>
      <c r="S81" s="356"/>
      <c r="T81" s="356"/>
      <c r="U81" s="357">
        <f>H81*E81</f>
        <v>22800</v>
      </c>
      <c r="V81" s="99"/>
      <c r="X81" s="4"/>
      <c r="Y81" s="2">
        <v>551.52</v>
      </c>
      <c r="Z81" s="5"/>
      <c r="AA81" s="5"/>
      <c r="AB81" s="95">
        <f>U81</f>
        <v>22800</v>
      </c>
      <c r="AC81" s="96"/>
    </row>
    <row r="82" spans="1:29" ht="24" customHeight="1" thickTop="1" thickBot="1" x14ac:dyDescent="0.3">
      <c r="A82" s="225" t="s">
        <v>51</v>
      </c>
      <c r="B82" s="274"/>
      <c r="C82" s="59"/>
      <c r="D82" s="59"/>
      <c r="E82" s="60"/>
      <c r="F82" s="76"/>
      <c r="G82" s="62"/>
      <c r="H82" s="60"/>
      <c r="I82" s="60"/>
      <c r="J82" s="63"/>
      <c r="K82" s="63"/>
      <c r="L82" s="64"/>
      <c r="M82" s="64"/>
      <c r="N82" s="64"/>
      <c r="O82" s="64"/>
      <c r="P82" s="65"/>
      <c r="Q82" s="275">
        <f>Q80</f>
        <v>25350</v>
      </c>
      <c r="R82" s="679"/>
      <c r="S82" s="679"/>
      <c r="T82" s="679"/>
      <c r="U82" s="493">
        <f>U79+U80+U81</f>
        <v>94650</v>
      </c>
      <c r="V82" s="90"/>
      <c r="X82" s="580"/>
      <c r="Y82" s="573"/>
      <c r="Z82" s="100"/>
      <c r="AA82" s="100"/>
      <c r="AB82" s="101">
        <f>SUM(AB80:AB81)</f>
        <v>48150</v>
      </c>
      <c r="AC82" s="87"/>
    </row>
    <row r="83" spans="1:29" s="2" customFormat="1" ht="16.5" customHeight="1" thickBot="1" x14ac:dyDescent="0.3">
      <c r="A83" s="273"/>
      <c r="B83" s="249"/>
      <c r="C83" s="249"/>
      <c r="D83" s="249"/>
      <c r="E83" s="250"/>
      <c r="F83" s="251"/>
      <c r="G83" s="252"/>
      <c r="H83" s="252"/>
      <c r="I83" s="249"/>
      <c r="J83" s="249"/>
      <c r="K83" s="249"/>
      <c r="L83" s="249"/>
      <c r="M83" s="249"/>
      <c r="N83" s="249"/>
      <c r="O83" s="249"/>
      <c r="P83" s="249"/>
      <c r="Q83" s="253"/>
      <c r="R83" s="681"/>
      <c r="S83" s="681"/>
      <c r="T83" s="681"/>
      <c r="U83" s="495"/>
      <c r="V83" s="634"/>
      <c r="X83" s="4"/>
      <c r="Z83" s="5"/>
      <c r="AA83" s="5"/>
      <c r="AB83" s="5"/>
      <c r="AC83" s="5"/>
    </row>
    <row r="84" spans="1:29" ht="30" customHeight="1" thickBot="1" x14ac:dyDescent="0.3">
      <c r="A84" s="228" t="s">
        <v>52</v>
      </c>
      <c r="B84" s="102"/>
      <c r="C84" s="103"/>
      <c r="D84" s="103"/>
      <c r="E84" s="103"/>
      <c r="F84" s="103"/>
      <c r="G84" s="103"/>
      <c r="H84" s="103"/>
      <c r="I84" s="103"/>
      <c r="J84" s="103"/>
      <c r="K84" s="103"/>
      <c r="L84" s="104"/>
      <c r="M84" s="104"/>
      <c r="N84" s="104"/>
      <c r="O84" s="104"/>
      <c r="P84" s="104"/>
      <c r="Q84" s="105" t="e">
        <f>#REF!+U82</f>
        <v>#REF!</v>
      </c>
      <c r="R84" s="682"/>
      <c r="S84" s="682"/>
      <c r="T84" s="682"/>
      <c r="U84" s="494">
        <f>U20+U25+U54+U68+U76+U82</f>
        <v>3529403.6277027884</v>
      </c>
      <c r="V84" s="109"/>
      <c r="W84" s="106"/>
      <c r="X84" s="581"/>
      <c r="Y84" s="574"/>
      <c r="Z84" s="92"/>
      <c r="AA84" s="92"/>
      <c r="AB84" s="107" t="e">
        <f>AB82+#REF!</f>
        <v>#REF!</v>
      </c>
      <c r="AC84" s="91"/>
    </row>
    <row r="85" spans="1:29" s="2" customFormat="1" ht="12.6" customHeight="1" x14ac:dyDescent="0.25">
      <c r="A85" s="229"/>
      <c r="B85" s="97"/>
      <c r="C85" s="97"/>
      <c r="D85" s="97"/>
      <c r="E85" s="97"/>
      <c r="F85" s="97"/>
      <c r="G85" s="97"/>
      <c r="H85" s="97"/>
      <c r="I85" s="97"/>
      <c r="J85" s="97"/>
      <c r="K85" s="97"/>
      <c r="L85" s="98"/>
      <c r="M85" s="98"/>
      <c r="N85" s="98"/>
      <c r="O85" s="98"/>
      <c r="P85" s="98"/>
      <c r="Q85" s="108"/>
      <c r="R85" s="108"/>
      <c r="S85" s="108"/>
      <c r="T85" s="108"/>
      <c r="U85" s="109"/>
      <c r="V85" s="109"/>
      <c r="W85" s="110"/>
      <c r="X85" s="8"/>
      <c r="AC85" s="110"/>
    </row>
    <row r="86" spans="1:29" ht="30" customHeight="1" x14ac:dyDescent="0.25">
      <c r="A86" s="230" t="s">
        <v>53</v>
      </c>
      <c r="B86" s="112"/>
      <c r="C86" s="112"/>
      <c r="D86" s="266" t="s">
        <v>237</v>
      </c>
      <c r="E86" s="266" t="s">
        <v>238</v>
      </c>
      <c r="F86" s="266" t="s">
        <v>239</v>
      </c>
      <c r="G86" s="266" t="s">
        <v>244</v>
      </c>
      <c r="H86" s="266"/>
      <c r="I86" s="112"/>
      <c r="J86" s="112"/>
      <c r="K86" s="112"/>
      <c r="L86" s="112"/>
      <c r="M86" s="112"/>
      <c r="N86" s="112"/>
      <c r="O86" s="112"/>
      <c r="P86" s="112"/>
      <c r="Q86" s="113"/>
      <c r="R86" s="113"/>
      <c r="S86" s="113"/>
      <c r="T86" s="113"/>
      <c r="U86" s="114" t="s">
        <v>54</v>
      </c>
      <c r="V86" s="656"/>
      <c r="X86" s="112"/>
      <c r="Y86" s="115"/>
      <c r="Z86" s="115"/>
      <c r="AA86" s="115"/>
      <c r="AB86" s="115"/>
      <c r="AC86" s="115"/>
    </row>
    <row r="87" spans="1:29" ht="14.45" customHeight="1" x14ac:dyDescent="0.25">
      <c r="A87" s="360" t="s">
        <v>401</v>
      </c>
      <c r="B87" s="474"/>
      <c r="C87" s="254"/>
      <c r="D87" s="254"/>
      <c r="E87" s="545">
        <v>4199</v>
      </c>
      <c r="F87" s="479"/>
      <c r="G87" s="546">
        <v>23.13</v>
      </c>
      <c r="H87" s="478"/>
      <c r="I87" s="478"/>
      <c r="J87" s="480"/>
      <c r="K87" s="475"/>
      <c r="L87" s="476"/>
      <c r="M87" s="476"/>
      <c r="N87" s="476"/>
      <c r="O87" s="476"/>
      <c r="P87" s="476"/>
      <c r="Q87" s="477"/>
      <c r="R87" s="477"/>
      <c r="S87" s="477"/>
      <c r="T87" s="477"/>
      <c r="U87" s="8">
        <f>E87*G87</f>
        <v>97122.87</v>
      </c>
      <c r="V87" s="110"/>
      <c r="X87" s="579"/>
      <c r="Y87" s="572"/>
      <c r="Z87" s="88"/>
      <c r="AA87" s="88"/>
      <c r="AB87" s="88"/>
      <c r="AC87" s="88"/>
    </row>
    <row r="88" spans="1:29" s="19" customFormat="1" ht="14.45" customHeight="1" x14ac:dyDescent="0.25">
      <c r="A88" s="768" t="s">
        <v>402</v>
      </c>
      <c r="B88" s="598"/>
      <c r="C88" s="599"/>
      <c r="D88" s="599"/>
      <c r="E88" s="600">
        <v>24</v>
      </c>
      <c r="F88" s="601">
        <v>12</v>
      </c>
      <c r="G88" s="602">
        <v>50</v>
      </c>
      <c r="H88" s="600"/>
      <c r="I88" s="600"/>
      <c r="J88" s="603"/>
      <c r="K88" s="603"/>
      <c r="L88" s="604"/>
      <c r="M88" s="604"/>
      <c r="N88" s="604"/>
      <c r="O88" s="604"/>
      <c r="P88" s="604"/>
      <c r="Q88" s="605"/>
      <c r="R88" s="605"/>
      <c r="S88" s="605"/>
      <c r="T88" s="605"/>
      <c r="U88" s="606">
        <f>E88*G88</f>
        <v>1200</v>
      </c>
      <c r="V88" s="637"/>
      <c r="X88" s="607"/>
      <c r="Z88" s="608"/>
      <c r="AA88" s="608"/>
      <c r="AB88" s="608"/>
      <c r="AC88" s="608"/>
    </row>
    <row r="89" spans="1:29" ht="14.45" customHeight="1" x14ac:dyDescent="0.25">
      <c r="A89" s="360" t="s">
        <v>343</v>
      </c>
      <c r="B89" s="474"/>
      <c r="C89" s="254"/>
      <c r="D89" s="254"/>
      <c r="E89" s="478">
        <v>24</v>
      </c>
      <c r="F89" s="479"/>
      <c r="G89" s="546">
        <v>30</v>
      </c>
      <c r="H89" s="478"/>
      <c r="I89" s="478"/>
      <c r="J89" s="480"/>
      <c r="K89" s="475"/>
      <c r="L89" s="476"/>
      <c r="M89" s="476"/>
      <c r="N89" s="476"/>
      <c r="O89" s="476"/>
      <c r="P89" s="476"/>
      <c r="Q89" s="477"/>
      <c r="R89" s="477"/>
      <c r="S89" s="477"/>
      <c r="T89" s="477"/>
      <c r="U89" s="548">
        <f>G89*E89</f>
        <v>720</v>
      </c>
      <c r="V89" s="264"/>
      <c r="X89" s="579"/>
      <c r="Y89" s="572"/>
      <c r="Z89" s="88"/>
      <c r="AA89" s="88"/>
      <c r="AB89" s="88"/>
      <c r="AC89" s="88"/>
    </row>
    <row r="90" spans="1:29" s="2" customFormat="1" x14ac:dyDescent="0.25">
      <c r="A90" s="231" t="s">
        <v>134</v>
      </c>
      <c r="B90" s="4"/>
      <c r="C90" s="4"/>
      <c r="D90" s="4">
        <v>1</v>
      </c>
      <c r="E90" s="4"/>
      <c r="F90" s="118">
        <v>12</v>
      </c>
      <c r="G90" s="547">
        <v>522</v>
      </c>
      <c r="H90" s="116"/>
      <c r="I90" s="116"/>
      <c r="J90" s="4"/>
      <c r="K90" s="4"/>
      <c r="L90" s="4"/>
      <c r="M90" s="4"/>
      <c r="N90" s="4"/>
      <c r="O90" s="4"/>
      <c r="P90" s="4"/>
      <c r="Q90" s="117">
        <f>F90*G90</f>
        <v>6264</v>
      </c>
      <c r="R90" s="117"/>
      <c r="S90" s="117"/>
      <c r="T90" s="117"/>
      <c r="U90" s="8">
        <f>F90*G90</f>
        <v>6264</v>
      </c>
      <c r="V90" s="110"/>
      <c r="X90" s="4"/>
      <c r="Y90" s="575">
        <v>4944</v>
      </c>
      <c r="Z90" s="5"/>
      <c r="AA90" s="5"/>
      <c r="AB90" s="5"/>
      <c r="AC90" s="5"/>
    </row>
    <row r="91" spans="1:29" s="2" customFormat="1" x14ac:dyDescent="0.25">
      <c r="A91" s="231" t="s">
        <v>135</v>
      </c>
      <c r="B91" s="4"/>
      <c r="C91" s="4"/>
      <c r="D91" s="4">
        <v>1</v>
      </c>
      <c r="E91" s="4"/>
      <c r="F91" s="118">
        <v>12</v>
      </c>
      <c r="G91" s="116">
        <v>495</v>
      </c>
      <c r="H91" s="116"/>
      <c r="I91" s="116"/>
      <c r="J91" s="4"/>
      <c r="K91" s="4"/>
      <c r="L91" s="4"/>
      <c r="M91" s="4"/>
      <c r="N91" s="4"/>
      <c r="O91" s="4"/>
      <c r="P91" s="4"/>
      <c r="Q91" s="117"/>
      <c r="R91" s="117"/>
      <c r="S91" s="117"/>
      <c r="T91" s="117"/>
      <c r="U91" s="8">
        <f>F91*G91</f>
        <v>5940</v>
      </c>
      <c r="V91" s="110"/>
      <c r="X91" s="4"/>
      <c r="Y91" s="575">
        <v>5643.84</v>
      </c>
      <c r="Z91" s="5"/>
      <c r="AA91" s="5"/>
      <c r="AB91" s="5"/>
      <c r="AC91" s="5"/>
    </row>
    <row r="92" spans="1:29" s="2" customFormat="1" x14ac:dyDescent="0.25">
      <c r="A92" s="231" t="s">
        <v>316</v>
      </c>
      <c r="B92" s="4"/>
      <c r="C92" s="4"/>
      <c r="D92" s="267">
        <v>2</v>
      </c>
      <c r="E92" s="267" t="s">
        <v>240</v>
      </c>
      <c r="F92" s="118">
        <v>52</v>
      </c>
      <c r="G92" s="259">
        <v>10.5</v>
      </c>
      <c r="H92" s="259"/>
      <c r="I92" s="116"/>
      <c r="J92" s="4"/>
      <c r="K92" s="4"/>
      <c r="L92" s="4"/>
      <c r="M92" s="4"/>
      <c r="N92" s="4"/>
      <c r="O92" s="4"/>
      <c r="P92" s="4"/>
      <c r="Q92" s="117"/>
      <c r="R92" s="117"/>
      <c r="S92" s="117"/>
      <c r="T92" s="117"/>
      <c r="U92" s="116">
        <f>F92*D92*G92</f>
        <v>1092</v>
      </c>
      <c r="V92" s="99"/>
      <c r="X92" s="4"/>
      <c r="Y92" s="575">
        <v>276</v>
      </c>
      <c r="Z92" s="5"/>
      <c r="AA92" s="5"/>
      <c r="AB92" s="5"/>
      <c r="AC92" s="5"/>
    </row>
    <row r="93" spans="1:29" s="2" customFormat="1" x14ac:dyDescent="0.25">
      <c r="A93" s="231" t="s">
        <v>204</v>
      </c>
      <c r="B93" s="4"/>
      <c r="C93" s="4"/>
      <c r="D93" s="267">
        <v>2</v>
      </c>
      <c r="E93" s="267" t="s">
        <v>240</v>
      </c>
      <c r="F93" s="118">
        <v>4</v>
      </c>
      <c r="G93" s="116">
        <v>118</v>
      </c>
      <c r="H93" s="116"/>
      <c r="I93" s="116"/>
      <c r="J93" s="4"/>
      <c r="K93" s="4"/>
      <c r="L93" s="4"/>
      <c r="M93" s="4"/>
      <c r="N93" s="4"/>
      <c r="O93" s="4"/>
      <c r="P93" s="4"/>
      <c r="Q93" s="117"/>
      <c r="R93" s="117"/>
      <c r="S93" s="117"/>
      <c r="T93" s="117"/>
      <c r="U93" s="116">
        <f>D93*F93*G93</f>
        <v>944</v>
      </c>
      <c r="V93" s="99"/>
      <c r="X93" s="4"/>
      <c r="Y93" s="575">
        <v>1161.5999999999999</v>
      </c>
      <c r="Z93" s="5"/>
      <c r="AA93" s="5"/>
      <c r="AB93" s="5"/>
      <c r="AC93" s="5"/>
    </row>
    <row r="94" spans="1:29" s="2" customFormat="1" x14ac:dyDescent="0.25">
      <c r="A94" s="231" t="s">
        <v>317</v>
      </c>
      <c r="B94" s="4"/>
      <c r="C94" s="4"/>
      <c r="D94" s="267">
        <v>2</v>
      </c>
      <c r="E94" s="267"/>
      <c r="F94" s="118"/>
      <c r="G94" s="116">
        <v>170</v>
      </c>
      <c r="H94" s="116"/>
      <c r="I94" s="116"/>
      <c r="J94" s="4"/>
      <c r="K94" s="4"/>
      <c r="L94" s="4"/>
      <c r="M94" s="4"/>
      <c r="N94" s="4"/>
      <c r="O94" s="4"/>
      <c r="P94" s="4"/>
      <c r="Q94" s="117"/>
      <c r="R94" s="117"/>
      <c r="S94" s="117"/>
      <c r="T94" s="117"/>
      <c r="U94" s="116">
        <f>G94*D94</f>
        <v>340</v>
      </c>
      <c r="V94" s="99"/>
      <c r="X94" s="4"/>
      <c r="Y94" s="575"/>
      <c r="Z94" s="5"/>
      <c r="AA94" s="5"/>
      <c r="AB94" s="5"/>
      <c r="AC94" s="5"/>
    </row>
    <row r="95" spans="1:29" s="2" customFormat="1" x14ac:dyDescent="0.25">
      <c r="A95" s="231" t="s">
        <v>234</v>
      </c>
      <c r="B95" s="4"/>
      <c r="C95" s="4"/>
      <c r="D95" s="267">
        <v>835</v>
      </c>
      <c r="E95" s="267" t="s">
        <v>241</v>
      </c>
      <c r="F95" s="118"/>
      <c r="G95" s="116">
        <v>1.75</v>
      </c>
      <c r="H95" s="116"/>
      <c r="I95" s="116"/>
      <c r="J95" s="4"/>
      <c r="K95" s="4"/>
      <c r="L95" s="4"/>
      <c r="M95" s="4"/>
      <c r="N95" s="4"/>
      <c r="O95" s="4"/>
      <c r="P95" s="4"/>
      <c r="Q95" s="117"/>
      <c r="R95" s="117"/>
      <c r="S95" s="117"/>
      <c r="T95" s="117"/>
      <c r="U95" s="116">
        <f>G95*D95</f>
        <v>1461.25</v>
      </c>
      <c r="V95" s="99"/>
      <c r="X95" s="4"/>
      <c r="Y95" s="575">
        <v>1464.7</v>
      </c>
      <c r="Z95" s="5"/>
      <c r="AA95" s="5"/>
      <c r="AB95" s="5"/>
      <c r="AC95" s="5"/>
    </row>
    <row r="96" spans="1:29" s="2" customFormat="1" x14ac:dyDescent="0.25">
      <c r="A96" s="231" t="s">
        <v>157</v>
      </c>
      <c r="B96" s="4"/>
      <c r="C96" s="4"/>
      <c r="D96" s="267">
        <v>2</v>
      </c>
      <c r="E96" s="267"/>
      <c r="F96" s="118">
        <v>12</v>
      </c>
      <c r="G96" s="116">
        <v>165</v>
      </c>
      <c r="H96" s="116"/>
      <c r="I96" s="116"/>
      <c r="J96" s="4"/>
      <c r="K96" s="4"/>
      <c r="L96" s="4"/>
      <c r="M96" s="4"/>
      <c r="N96" s="4"/>
      <c r="O96" s="4"/>
      <c r="P96" s="4"/>
      <c r="Q96" s="117"/>
      <c r="R96" s="117"/>
      <c r="S96" s="117"/>
      <c r="T96" s="117"/>
      <c r="U96" s="116">
        <f>D96*F96*G96</f>
        <v>3960</v>
      </c>
      <c r="V96" s="99"/>
      <c r="X96" s="4"/>
      <c r="Y96" s="575">
        <v>3600</v>
      </c>
      <c r="Z96" s="5"/>
      <c r="AA96" s="5"/>
      <c r="AB96" s="5"/>
      <c r="AC96" s="5"/>
    </row>
    <row r="97" spans="1:31" s="2" customFormat="1" x14ac:dyDescent="0.25">
      <c r="A97" s="231" t="s">
        <v>158</v>
      </c>
      <c r="B97" s="4"/>
      <c r="C97" s="4"/>
      <c r="D97" s="267">
        <v>2</v>
      </c>
      <c r="E97" s="267"/>
      <c r="F97" s="118"/>
      <c r="G97" s="116">
        <v>150</v>
      </c>
      <c r="H97" s="116"/>
      <c r="I97" s="116"/>
      <c r="J97" s="4"/>
      <c r="K97" s="4"/>
      <c r="L97" s="4"/>
      <c r="M97" s="4"/>
      <c r="N97" s="4"/>
      <c r="O97" s="4"/>
      <c r="P97" s="4"/>
      <c r="Q97" s="117"/>
      <c r="R97" s="117"/>
      <c r="S97" s="117"/>
      <c r="T97" s="117"/>
      <c r="U97" s="116">
        <f>D97*G97</f>
        <v>300</v>
      </c>
      <c r="V97" s="99"/>
      <c r="X97" s="4"/>
      <c r="Y97" s="575">
        <v>378</v>
      </c>
      <c r="Z97" s="5"/>
      <c r="AA97" s="5"/>
      <c r="AB97" s="5"/>
      <c r="AC97" s="5"/>
    </row>
    <row r="98" spans="1:31" x14ac:dyDescent="0.25">
      <c r="A98" s="232" t="s">
        <v>55</v>
      </c>
      <c r="B98" s="7"/>
      <c r="C98" s="7"/>
      <c r="D98" s="119"/>
      <c r="E98" s="119">
        <v>54</v>
      </c>
      <c r="F98" s="119"/>
      <c r="G98" s="81">
        <v>100</v>
      </c>
      <c r="H98" s="81"/>
      <c r="I98" s="81"/>
      <c r="J98" s="81"/>
      <c r="K98" s="81"/>
      <c r="L98" s="7"/>
      <c r="M98" s="7"/>
      <c r="N98" s="7"/>
      <c r="O98" s="7"/>
      <c r="P98" s="7"/>
      <c r="Q98" s="120">
        <f xml:space="preserve"> (F98*G98)/4</f>
        <v>0</v>
      </c>
      <c r="R98" s="120"/>
      <c r="S98" s="120"/>
      <c r="T98" s="120"/>
      <c r="U98" s="81">
        <f>(E98*G98)/2</f>
        <v>2700</v>
      </c>
      <c r="V98" s="110"/>
      <c r="X98" s="7"/>
      <c r="Y98" s="106">
        <v>4125</v>
      </c>
      <c r="Z98" s="83"/>
      <c r="AA98" s="83"/>
      <c r="AB98" s="83"/>
      <c r="AC98" s="3"/>
    </row>
    <row r="99" spans="1:31" x14ac:dyDescent="0.25">
      <c r="A99" s="232" t="s">
        <v>137</v>
      </c>
      <c r="B99" s="7"/>
      <c r="C99" s="7"/>
      <c r="D99" s="119"/>
      <c r="E99" s="119">
        <v>54</v>
      </c>
      <c r="F99" s="119">
        <v>12</v>
      </c>
      <c r="G99" s="81">
        <v>26.98</v>
      </c>
      <c r="H99" s="81"/>
      <c r="I99" s="81"/>
      <c r="J99" s="81"/>
      <c r="K99" s="81"/>
      <c r="L99" s="7"/>
      <c r="M99" s="7"/>
      <c r="N99" s="7"/>
      <c r="O99" s="7"/>
      <c r="P99" s="7"/>
      <c r="Q99" s="120">
        <f>E99*F99*G99</f>
        <v>17483.04</v>
      </c>
      <c r="R99" s="120"/>
      <c r="S99" s="120"/>
      <c r="T99" s="120"/>
      <c r="U99" s="81">
        <f>E99*F99*G99</f>
        <v>17483.04</v>
      </c>
      <c r="V99" s="110"/>
      <c r="X99" s="7"/>
      <c r="Y99" s="106">
        <v>15840</v>
      </c>
      <c r="Z99" s="83"/>
      <c r="AA99" s="83"/>
      <c r="AB99" s="83"/>
      <c r="AC99" s="3"/>
    </row>
    <row r="100" spans="1:31" ht="15.75" thickBot="1" x14ac:dyDescent="0.3">
      <c r="A100" s="233" t="s">
        <v>56</v>
      </c>
      <c r="B100" s="37"/>
      <c r="C100" s="37"/>
      <c r="D100" s="121"/>
      <c r="E100" s="121"/>
      <c r="F100" s="121"/>
      <c r="G100" s="85">
        <v>300</v>
      </c>
      <c r="H100" s="85"/>
      <c r="I100" s="85"/>
      <c r="J100" s="85"/>
      <c r="K100" s="85"/>
      <c r="L100" s="37"/>
      <c r="M100" s="37"/>
      <c r="N100" s="37"/>
      <c r="O100" s="37"/>
      <c r="P100" s="37"/>
      <c r="Q100" s="120">
        <f>G100</f>
        <v>300</v>
      </c>
      <c r="R100" s="683"/>
      <c r="S100" s="683"/>
      <c r="T100" s="683"/>
      <c r="U100" s="85">
        <f>G100</f>
        <v>300</v>
      </c>
      <c r="V100" s="110"/>
      <c r="X100" s="7"/>
      <c r="Y100" s="106">
        <v>300</v>
      </c>
      <c r="Z100" s="83"/>
      <c r="AA100" s="83"/>
      <c r="AB100" s="83"/>
      <c r="AC100" s="3"/>
    </row>
    <row r="101" spans="1:31" ht="30" customHeight="1" thickBot="1" x14ac:dyDescent="0.3">
      <c r="A101" s="234" t="s">
        <v>57</v>
      </c>
      <c r="B101" s="122"/>
      <c r="C101" s="122"/>
      <c r="D101" s="122"/>
      <c r="E101" s="122"/>
      <c r="F101" s="122"/>
      <c r="G101" s="122"/>
      <c r="H101" s="122"/>
      <c r="I101" s="122"/>
      <c r="J101" s="122"/>
      <c r="K101" s="122"/>
      <c r="L101" s="122"/>
      <c r="M101" s="122"/>
      <c r="N101" s="122"/>
      <c r="O101" s="122"/>
      <c r="P101" s="123"/>
      <c r="Q101" s="124">
        <f>SUM(Q90:Q100)</f>
        <v>24047.040000000001</v>
      </c>
      <c r="R101" s="124"/>
      <c r="S101" s="124"/>
      <c r="T101" s="124"/>
      <c r="U101" s="125">
        <f>SUM(U87:U100)</f>
        <v>139827.16</v>
      </c>
      <c r="V101" s="128"/>
      <c r="W101" s="106">
        <f>Y101</f>
        <v>37733.14</v>
      </c>
      <c r="X101" s="111"/>
      <c r="Y101" s="126">
        <f>SUM(Y90:Y100)</f>
        <v>37733.14</v>
      </c>
      <c r="Z101" s="122"/>
      <c r="AA101" s="122"/>
      <c r="AB101" s="122"/>
      <c r="AC101" s="123"/>
    </row>
    <row r="102" spans="1:31" ht="11.45" customHeight="1" thickBot="1" x14ac:dyDescent="0.3">
      <c r="A102" s="235"/>
      <c r="B102" s="127"/>
      <c r="C102" s="127"/>
      <c r="D102" s="127"/>
      <c r="E102" s="127"/>
      <c r="F102" s="127"/>
      <c r="G102" s="127"/>
      <c r="H102" s="127"/>
      <c r="I102" s="127"/>
      <c r="J102" s="127"/>
      <c r="K102" s="127"/>
      <c r="L102" s="127"/>
      <c r="M102" s="127"/>
      <c r="N102" s="127"/>
      <c r="O102" s="127"/>
      <c r="P102" s="127"/>
      <c r="Q102" s="127"/>
      <c r="R102" s="127"/>
      <c r="S102" s="127"/>
      <c r="T102" s="127"/>
      <c r="U102" s="128"/>
      <c r="V102" s="128"/>
      <c r="X102" s="380"/>
      <c r="Y102" s="129"/>
      <c r="Z102" s="127"/>
      <c r="AA102" s="127"/>
      <c r="AB102" s="127"/>
      <c r="AC102" s="127"/>
    </row>
    <row r="103" spans="1:31" ht="30" customHeight="1" thickBot="1" x14ac:dyDescent="0.3">
      <c r="A103" s="555" t="s">
        <v>19</v>
      </c>
      <c r="B103" s="130"/>
      <c r="C103" s="130"/>
      <c r="D103" s="130"/>
      <c r="E103" s="130"/>
      <c r="F103" s="131"/>
      <c r="G103" s="132"/>
      <c r="H103" s="132"/>
      <c r="I103" s="132"/>
      <c r="J103" s="132"/>
      <c r="K103" s="132"/>
      <c r="L103" s="130"/>
      <c r="M103" s="130"/>
      <c r="N103" s="130"/>
      <c r="O103" s="130"/>
      <c r="P103" s="130"/>
      <c r="Q103" s="133"/>
      <c r="R103" s="133"/>
      <c r="S103" s="133"/>
      <c r="T103" s="133"/>
      <c r="U103" s="134" t="s">
        <v>58</v>
      </c>
      <c r="V103" s="657"/>
      <c r="X103" s="582"/>
      <c r="Y103" s="576"/>
      <c r="Z103" s="130"/>
      <c r="AA103" s="130"/>
      <c r="AB103" s="130"/>
      <c r="AC103" s="130"/>
    </row>
    <row r="104" spans="1:31" x14ac:dyDescent="0.25">
      <c r="A104" s="232" t="s">
        <v>245</v>
      </c>
      <c r="B104" s="135"/>
      <c r="C104" s="135"/>
      <c r="D104" s="135"/>
      <c r="E104" s="135">
        <v>1</v>
      </c>
      <c r="F104" s="256">
        <v>54</v>
      </c>
      <c r="G104" s="136">
        <v>40</v>
      </c>
      <c r="H104" s="136"/>
      <c r="I104" s="136"/>
      <c r="J104" s="136"/>
      <c r="K104" s="136"/>
      <c r="L104" s="135"/>
      <c r="M104" s="135"/>
      <c r="N104" s="135"/>
      <c r="O104" s="135"/>
      <c r="P104" s="135"/>
      <c r="Q104" s="137">
        <f>G104</f>
        <v>40</v>
      </c>
      <c r="R104" s="137"/>
      <c r="S104" s="137"/>
      <c r="T104" s="137"/>
      <c r="U104" s="136">
        <f>(E104*F104*G104)</f>
        <v>2160</v>
      </c>
      <c r="V104" s="110"/>
      <c r="X104" s="7"/>
      <c r="Y104" s="106"/>
      <c r="Z104" s="83">
        <v>617.5</v>
      </c>
      <c r="AA104" s="83"/>
      <c r="AB104" s="83"/>
      <c r="AC104" s="3"/>
    </row>
    <row r="105" spans="1:31" x14ac:dyDescent="0.25">
      <c r="A105" s="232" t="s">
        <v>142</v>
      </c>
      <c r="B105" s="7"/>
      <c r="C105" s="7"/>
      <c r="D105" s="7"/>
      <c r="E105" s="7">
        <v>1</v>
      </c>
      <c r="F105" s="119">
        <v>54</v>
      </c>
      <c r="G105" s="81">
        <v>15</v>
      </c>
      <c r="H105" s="81"/>
      <c r="I105" s="81"/>
      <c r="J105" s="81"/>
      <c r="K105" s="81"/>
      <c r="L105" s="7"/>
      <c r="M105" s="7"/>
      <c r="N105" s="7"/>
      <c r="O105" s="7"/>
      <c r="P105" s="7"/>
      <c r="Q105" s="138">
        <f>F105*G105</f>
        <v>810</v>
      </c>
      <c r="R105" s="138"/>
      <c r="S105" s="138"/>
      <c r="T105" s="138"/>
      <c r="U105" s="136">
        <f t="shared" ref="U105:U106" si="13">(E105*F105*G105)</f>
        <v>810</v>
      </c>
      <c r="V105" s="110"/>
      <c r="X105" s="7"/>
      <c r="Y105" s="106"/>
      <c r="Z105" s="83">
        <v>390.92500000000001</v>
      </c>
      <c r="AA105" s="83"/>
      <c r="AB105" s="83"/>
      <c r="AC105" s="3"/>
    </row>
    <row r="106" spans="1:31" x14ac:dyDescent="0.25">
      <c r="A106" s="232" t="s">
        <v>492</v>
      </c>
      <c r="B106" s="7"/>
      <c r="C106" s="7"/>
      <c r="D106" s="7"/>
      <c r="E106" s="7">
        <v>1</v>
      </c>
      <c r="F106" s="119">
        <v>54</v>
      </c>
      <c r="G106" s="81">
        <v>25</v>
      </c>
      <c r="H106" s="81"/>
      <c r="I106" s="81"/>
      <c r="J106" s="81"/>
      <c r="K106" s="81"/>
      <c r="L106" s="7"/>
      <c r="M106" s="7"/>
      <c r="N106" s="7"/>
      <c r="O106" s="7"/>
      <c r="P106" s="7"/>
      <c r="Q106" s="138">
        <f>F106*G106</f>
        <v>1350</v>
      </c>
      <c r="R106" s="138"/>
      <c r="S106" s="138"/>
      <c r="T106" s="138"/>
      <c r="U106" s="136">
        <f t="shared" si="13"/>
        <v>1350</v>
      </c>
      <c r="V106" s="110"/>
      <c r="X106" s="7"/>
      <c r="Y106" s="106"/>
      <c r="Z106" s="83">
        <v>334.68499999999995</v>
      </c>
      <c r="AA106" s="83"/>
      <c r="AB106" s="83"/>
      <c r="AC106" s="3"/>
      <c r="AE106" s="106"/>
    </row>
    <row r="107" spans="1:31" x14ac:dyDescent="0.25">
      <c r="A107" s="557" t="s">
        <v>151</v>
      </c>
      <c r="B107" s="139"/>
      <c r="C107" s="7"/>
      <c r="D107" s="7"/>
      <c r="E107" s="7">
        <v>2.25</v>
      </c>
      <c r="F107" s="119">
        <v>45</v>
      </c>
      <c r="G107" s="81">
        <v>17.149999999999999</v>
      </c>
      <c r="H107" s="81"/>
      <c r="I107" s="81"/>
      <c r="J107" s="81"/>
      <c r="K107" s="81"/>
      <c r="L107" s="7"/>
      <c r="M107" s="7"/>
      <c r="N107" s="7"/>
      <c r="O107" s="7"/>
      <c r="P107" s="7"/>
      <c r="Q107" s="138">
        <f>B107*G107</f>
        <v>0</v>
      </c>
      <c r="R107" s="138"/>
      <c r="S107" s="138"/>
      <c r="T107" s="138"/>
      <c r="U107" s="81">
        <f>E107*F107*G107</f>
        <v>1736.4374999999998</v>
      </c>
      <c r="V107" s="110"/>
      <c r="X107" s="7"/>
      <c r="Y107" s="106"/>
      <c r="Z107" s="83">
        <v>164.35</v>
      </c>
      <c r="AA107" s="83"/>
      <c r="AB107" s="83"/>
      <c r="AC107" s="83"/>
    </row>
    <row r="108" spans="1:31" x14ac:dyDescent="0.25">
      <c r="A108" s="558" t="s">
        <v>228</v>
      </c>
      <c r="B108" s="139"/>
      <c r="C108" s="7"/>
      <c r="D108" s="7"/>
      <c r="E108" s="7"/>
      <c r="F108" s="119"/>
      <c r="G108" s="81">
        <v>3000</v>
      </c>
      <c r="H108" s="81"/>
      <c r="I108" s="81"/>
      <c r="J108" s="81"/>
      <c r="K108" s="81"/>
      <c r="L108" s="7"/>
      <c r="M108" s="7"/>
      <c r="N108" s="7"/>
      <c r="O108" s="7"/>
      <c r="P108" s="7"/>
      <c r="Q108" s="138">
        <f>F108*G108</f>
        <v>0</v>
      </c>
      <c r="R108" s="138"/>
      <c r="S108" s="138"/>
      <c r="T108" s="138"/>
      <c r="U108" s="81">
        <f>G108</f>
        <v>3000</v>
      </c>
      <c r="V108" s="110"/>
      <c r="X108" s="7"/>
      <c r="Y108" s="106"/>
      <c r="Z108" s="83">
        <v>1500</v>
      </c>
      <c r="AA108" s="83"/>
      <c r="AB108" s="83"/>
      <c r="AC108" s="83"/>
      <c r="AE108" s="106"/>
    </row>
    <row r="109" spans="1:31" x14ac:dyDescent="0.25">
      <c r="A109" s="558" t="s">
        <v>403</v>
      </c>
      <c r="B109" s="139"/>
      <c r="C109" s="7"/>
      <c r="D109" s="7"/>
      <c r="E109" s="7"/>
      <c r="F109" s="119"/>
      <c r="G109" s="81">
        <v>1500</v>
      </c>
      <c r="H109" s="81"/>
      <c r="I109" s="81"/>
      <c r="J109" s="81"/>
      <c r="K109" s="81"/>
      <c r="L109" s="7"/>
      <c r="M109" s="7"/>
      <c r="N109" s="7"/>
      <c r="O109" s="7"/>
      <c r="P109" s="7"/>
      <c r="Q109" s="138"/>
      <c r="R109" s="138"/>
      <c r="S109" s="138"/>
      <c r="T109" s="138"/>
      <c r="U109" s="81">
        <f>G109</f>
        <v>1500</v>
      </c>
      <c r="V109" s="110"/>
      <c r="X109" s="7"/>
      <c r="Y109" s="106"/>
      <c r="Z109" s="83"/>
      <c r="AA109" s="83"/>
      <c r="AB109" s="83"/>
      <c r="AC109" s="83"/>
      <c r="AE109" s="106"/>
    </row>
    <row r="110" spans="1:31" x14ac:dyDescent="0.25">
      <c r="A110" s="558" t="s">
        <v>478</v>
      </c>
      <c r="B110" s="139"/>
      <c r="C110" s="7"/>
      <c r="D110" s="7"/>
      <c r="E110" s="7"/>
      <c r="F110" s="119">
        <v>12</v>
      </c>
      <c r="G110" s="81">
        <v>750</v>
      </c>
      <c r="H110" s="81"/>
      <c r="I110" s="81"/>
      <c r="J110" s="81"/>
      <c r="K110" s="81"/>
      <c r="L110" s="7"/>
      <c r="M110" s="7"/>
      <c r="N110" s="7"/>
      <c r="O110" s="7"/>
      <c r="P110" s="7"/>
      <c r="Q110" s="138"/>
      <c r="R110" s="138"/>
      <c r="S110" s="138"/>
      <c r="T110" s="138"/>
      <c r="U110" s="81">
        <f>F110*G110</f>
        <v>9000</v>
      </c>
      <c r="V110" s="110"/>
      <c r="X110" s="7"/>
      <c r="Y110" s="106"/>
      <c r="Z110" s="83"/>
      <c r="AA110" s="83"/>
      <c r="AB110" s="83"/>
      <c r="AC110" s="83"/>
      <c r="AE110" s="106"/>
    </row>
    <row r="111" spans="1:31" x14ac:dyDescent="0.25">
      <c r="A111" s="558" t="s">
        <v>227</v>
      </c>
      <c r="B111" s="139"/>
      <c r="C111" s="7"/>
      <c r="D111" s="7"/>
      <c r="E111" s="7"/>
      <c r="F111" s="119"/>
      <c r="G111" s="81">
        <v>2000</v>
      </c>
      <c r="H111" s="81"/>
      <c r="I111" s="81"/>
      <c r="J111" s="81"/>
      <c r="K111" s="81"/>
      <c r="L111" s="7"/>
      <c r="M111" s="7"/>
      <c r="N111" s="7"/>
      <c r="O111" s="7"/>
      <c r="P111" s="7"/>
      <c r="Q111" s="138">
        <f>G111</f>
        <v>2000</v>
      </c>
      <c r="R111" s="138"/>
      <c r="S111" s="138"/>
      <c r="T111" s="138"/>
      <c r="U111" s="81">
        <f>G111</f>
        <v>2000</v>
      </c>
      <c r="V111" s="110"/>
      <c r="X111" s="7"/>
      <c r="Y111" s="106"/>
      <c r="Z111" s="83">
        <v>650</v>
      </c>
      <c r="AA111" s="83"/>
      <c r="AB111" s="83"/>
      <c r="AC111" s="83"/>
      <c r="AE111" s="106"/>
    </row>
    <row r="112" spans="1:31" x14ac:dyDescent="0.25">
      <c r="A112" s="558" t="s">
        <v>480</v>
      </c>
      <c r="B112" s="139"/>
      <c r="C112" s="7"/>
      <c r="D112" s="7"/>
      <c r="E112" s="7">
        <v>12</v>
      </c>
      <c r="F112" s="119">
        <v>54</v>
      </c>
      <c r="G112" s="81">
        <v>3</v>
      </c>
      <c r="H112" s="81"/>
      <c r="I112" s="81"/>
      <c r="J112" s="81"/>
      <c r="K112" s="81"/>
      <c r="L112" s="7"/>
      <c r="M112" s="7"/>
      <c r="N112" s="7"/>
      <c r="O112" s="7"/>
      <c r="P112" s="7"/>
      <c r="Q112" s="138"/>
      <c r="R112" s="138"/>
      <c r="S112" s="138"/>
      <c r="T112" s="138"/>
      <c r="U112" s="81">
        <f>G112*E112*F112</f>
        <v>1944</v>
      </c>
      <c r="V112" s="110"/>
      <c r="X112" s="7"/>
      <c r="Y112" s="106"/>
      <c r="Z112" s="83"/>
      <c r="AA112" s="83"/>
      <c r="AB112" s="83"/>
      <c r="AC112" s="83"/>
      <c r="AE112" s="106"/>
    </row>
    <row r="113" spans="1:34" ht="15.75" thickBot="1" x14ac:dyDescent="0.3">
      <c r="A113" s="558" t="s">
        <v>405</v>
      </c>
      <c r="B113" s="7"/>
      <c r="C113" s="7"/>
      <c r="D113" s="7"/>
      <c r="E113" s="7"/>
      <c r="F113" s="119"/>
      <c r="G113" s="81">
        <v>6000</v>
      </c>
      <c r="H113" s="81"/>
      <c r="I113" s="81"/>
      <c r="J113" s="81"/>
      <c r="K113" s="81"/>
      <c r="L113" s="7"/>
      <c r="M113" s="7"/>
      <c r="N113" s="7"/>
      <c r="O113" s="7"/>
      <c r="P113" s="7"/>
      <c r="Q113" s="138">
        <v>3000</v>
      </c>
      <c r="R113" s="138"/>
      <c r="S113" s="138"/>
      <c r="T113" s="138"/>
      <c r="U113" s="81">
        <v>6000</v>
      </c>
      <c r="V113" s="110"/>
      <c r="X113" s="7"/>
      <c r="Y113" s="106"/>
      <c r="Z113" s="83">
        <v>149</v>
      </c>
      <c r="AA113" s="83"/>
      <c r="AB113" s="83"/>
      <c r="AC113" s="83"/>
    </row>
    <row r="114" spans="1:34" ht="30" customHeight="1" thickBot="1" x14ac:dyDescent="0.3">
      <c r="A114" s="556" t="s">
        <v>19</v>
      </c>
      <c r="B114" s="140"/>
      <c r="C114" s="140"/>
      <c r="D114" s="140"/>
      <c r="E114" s="140"/>
      <c r="F114" s="141"/>
      <c r="G114" s="142"/>
      <c r="H114" s="142"/>
      <c r="I114" s="142"/>
      <c r="J114" s="142"/>
      <c r="K114" s="142"/>
      <c r="L114" s="140"/>
      <c r="M114" s="140"/>
      <c r="N114" s="140"/>
      <c r="O114" s="140"/>
      <c r="P114" s="140"/>
      <c r="Q114" s="143"/>
      <c r="R114" s="143"/>
      <c r="S114" s="143"/>
      <c r="T114" s="143"/>
      <c r="U114" s="144">
        <f>SUM(U104:U113)</f>
        <v>29500.4375</v>
      </c>
      <c r="V114" s="641"/>
      <c r="W114" s="106">
        <f>Z114+AC114</f>
        <v>3806.46</v>
      </c>
      <c r="X114" s="550"/>
      <c r="Y114" s="140"/>
      <c r="Z114" s="142">
        <f>SUM(Z104:Z113)</f>
        <v>3806.46</v>
      </c>
      <c r="AA114" s="142"/>
      <c r="AB114" s="142"/>
      <c r="AC114" s="142"/>
    </row>
    <row r="115" spans="1:34" ht="10.5" customHeight="1" thickBot="1" x14ac:dyDescent="0.3">
      <c r="A115" s="235"/>
      <c r="B115" s="2"/>
      <c r="C115" s="2"/>
      <c r="D115" s="2"/>
      <c r="E115" s="2"/>
      <c r="F115" s="552"/>
      <c r="G115" s="110"/>
      <c r="H115" s="110"/>
      <c r="I115" s="110"/>
      <c r="J115" s="110"/>
      <c r="K115" s="110"/>
      <c r="L115" s="2"/>
      <c r="M115" s="2"/>
      <c r="N115" s="2"/>
      <c r="O115" s="2"/>
      <c r="P115" s="2"/>
      <c r="Q115" s="553"/>
      <c r="R115" s="553"/>
      <c r="S115" s="553"/>
      <c r="T115" s="553"/>
      <c r="U115" s="554"/>
      <c r="V115" s="641"/>
      <c r="W115" s="106"/>
      <c r="X115" s="550"/>
      <c r="Y115" s="550"/>
      <c r="Z115" s="551"/>
      <c r="AA115" s="551"/>
      <c r="AB115" s="551"/>
      <c r="AC115" s="551"/>
    </row>
    <row r="116" spans="1:34" ht="21.95" customHeight="1" thickBot="1" x14ac:dyDescent="0.3">
      <c r="A116" s="549" t="s">
        <v>59</v>
      </c>
      <c r="B116" s="145"/>
      <c r="C116" s="145"/>
      <c r="D116" s="145"/>
      <c r="E116" s="145"/>
      <c r="F116" s="145"/>
      <c r="G116" s="145"/>
      <c r="H116" s="145"/>
      <c r="I116" s="145"/>
      <c r="J116" s="145"/>
      <c r="K116" s="145"/>
      <c r="L116" s="145"/>
      <c r="M116" s="145"/>
      <c r="N116" s="145"/>
      <c r="O116" s="145"/>
      <c r="P116" s="145"/>
      <c r="Q116" s="146">
        <f>SUM(Q104:Q113)</f>
        <v>7200</v>
      </c>
      <c r="R116" s="857"/>
      <c r="S116" s="857"/>
      <c r="T116" s="857"/>
      <c r="U116" s="856">
        <f>U101+U114</f>
        <v>169327.5975</v>
      </c>
      <c r="V116" s="658"/>
      <c r="W116" s="106">
        <f>Y116+Z116+AC116</f>
        <v>41539.599999999999</v>
      </c>
      <c r="X116" s="145"/>
      <c r="Y116" s="148">
        <f>Y101</f>
        <v>37733.14</v>
      </c>
      <c r="Z116" s="148">
        <f>Z114</f>
        <v>3806.46</v>
      </c>
      <c r="AA116" s="148"/>
      <c r="AB116" s="148"/>
      <c r="AC116" s="148"/>
    </row>
    <row r="117" spans="1:34" ht="30" customHeight="1" thickBot="1" x14ac:dyDescent="0.3">
      <c r="A117" s="236" t="s">
        <v>60</v>
      </c>
      <c r="B117" s="149"/>
      <c r="C117" s="149"/>
      <c r="D117" s="149"/>
      <c r="E117" s="149"/>
      <c r="F117" s="150"/>
      <c r="G117" s="151"/>
      <c r="H117" s="151"/>
      <c r="I117" s="151"/>
      <c r="J117" s="151"/>
      <c r="K117" s="151"/>
      <c r="L117" s="152"/>
      <c r="M117" s="152"/>
      <c r="N117" s="149"/>
      <c r="O117" s="149"/>
      <c r="P117" s="149"/>
      <c r="Q117" s="153" t="e">
        <f>Q84+Q101+Q116</f>
        <v>#REF!</v>
      </c>
      <c r="R117" s="153"/>
      <c r="S117" s="153"/>
      <c r="T117" s="153"/>
      <c r="U117" s="154">
        <f>U116+U84</f>
        <v>3698731.2252027886</v>
      </c>
      <c r="V117" s="659"/>
      <c r="W117" s="106">
        <f>X117+Y117+Z117+AC117</f>
        <v>41539.599999999999</v>
      </c>
      <c r="X117" s="155"/>
      <c r="Y117" s="155">
        <f>Y116</f>
        <v>37733.14</v>
      </c>
      <c r="Z117" s="155">
        <f>Z114</f>
        <v>3806.46</v>
      </c>
      <c r="AA117" s="155"/>
      <c r="AB117" s="155"/>
      <c r="AC117" s="155"/>
    </row>
    <row r="118" spans="1:34" ht="20.100000000000001" customHeight="1" x14ac:dyDescent="0.25">
      <c r="A118" s="237" t="s">
        <v>61</v>
      </c>
      <c r="B118" s="156"/>
      <c r="C118" s="156"/>
      <c r="D118" s="156"/>
      <c r="E118" s="156"/>
      <c r="F118" s="156"/>
      <c r="G118" s="156"/>
      <c r="H118" s="156"/>
      <c r="I118" s="156"/>
      <c r="J118" s="156"/>
      <c r="K118" s="156"/>
      <c r="L118" s="157"/>
      <c r="M118" s="157"/>
      <c r="N118" s="156"/>
      <c r="O118" s="156"/>
      <c r="P118" s="156"/>
      <c r="Q118" s="158"/>
      <c r="R118" s="158"/>
      <c r="S118" s="158"/>
      <c r="T118" s="158"/>
      <c r="U118" s="158"/>
      <c r="V118" s="655"/>
      <c r="W118" s="159"/>
      <c r="X118" s="156"/>
      <c r="Y118" s="156"/>
      <c r="Z118" s="156"/>
      <c r="AA118" s="156"/>
      <c r="AB118" s="156"/>
      <c r="AC118" s="156"/>
      <c r="AD118" s="106"/>
    </row>
    <row r="119" spans="1:34" ht="28.5" customHeight="1" x14ac:dyDescent="0.25">
      <c r="A119" s="238" t="s">
        <v>62</v>
      </c>
      <c r="B119" s="283">
        <v>0.06</v>
      </c>
      <c r="C119" s="7"/>
      <c r="D119" s="7"/>
      <c r="E119" s="7"/>
      <c r="F119" s="7"/>
      <c r="G119" s="160">
        <f>U117</f>
        <v>3698731.2252027886</v>
      </c>
      <c r="H119" s="160"/>
      <c r="I119" s="160"/>
      <c r="J119" s="160"/>
      <c r="K119" s="160"/>
      <c r="L119" s="7"/>
      <c r="M119" s="7"/>
      <c r="N119" s="7"/>
      <c r="O119" s="7"/>
      <c r="P119" s="7"/>
      <c r="Q119" s="161">
        <f>B119*G119</f>
        <v>221923.87351216731</v>
      </c>
      <c r="R119" s="161"/>
      <c r="S119" s="161"/>
      <c r="T119" s="161"/>
      <c r="U119" s="162">
        <f>(G119*B119)+0.001</f>
        <v>221923.8745121673</v>
      </c>
      <c r="V119" s="99"/>
      <c r="W119" s="163"/>
      <c r="X119" s="3"/>
      <c r="Z119" s="164">
        <f>U119</f>
        <v>221923.8745121673</v>
      </c>
      <c r="AA119" s="164"/>
      <c r="AB119" s="164"/>
      <c r="AC119" s="3"/>
    </row>
    <row r="120" spans="1:34" ht="26.45" customHeight="1" x14ac:dyDescent="0.25">
      <c r="A120" s="232" t="s">
        <v>20</v>
      </c>
      <c r="B120" s="283">
        <v>0.04</v>
      </c>
      <c r="C120" s="7"/>
      <c r="D120" s="7"/>
      <c r="E120" s="7"/>
      <c r="F120" s="7"/>
      <c r="G120" s="160">
        <f>U117</f>
        <v>3698731.2252027886</v>
      </c>
      <c r="H120" s="160"/>
      <c r="I120" s="160"/>
      <c r="J120" s="160"/>
      <c r="K120" s="160"/>
      <c r="L120" s="7"/>
      <c r="M120" s="7"/>
      <c r="N120" s="7"/>
      <c r="O120" s="7"/>
      <c r="P120" s="7"/>
      <c r="Q120" s="80">
        <f>G120*B120+0.0035</f>
        <v>147949.25250811153</v>
      </c>
      <c r="R120" s="80"/>
      <c r="S120" s="80"/>
      <c r="T120" s="80"/>
      <c r="U120" s="160">
        <f>(G120*B120)</f>
        <v>147949.24900811154</v>
      </c>
      <c r="V120" s="660"/>
      <c r="W120" s="163"/>
      <c r="X120" s="3"/>
      <c r="Z120" s="3"/>
      <c r="AA120" s="164">
        <f>'TAULA MARE DEF (prova)'!$U$120</f>
        <v>147949.24900811154</v>
      </c>
      <c r="AB120" s="164"/>
      <c r="AC120" s="3"/>
    </row>
    <row r="121" spans="1:34" ht="30" customHeight="1" thickBot="1" x14ac:dyDescent="0.3">
      <c r="A121" s="240" t="s">
        <v>21</v>
      </c>
      <c r="B121" s="168"/>
      <c r="C121" s="168"/>
      <c r="D121" s="168"/>
      <c r="E121" s="168"/>
      <c r="F121" s="168"/>
      <c r="G121" s="168"/>
      <c r="H121" s="168"/>
      <c r="I121" s="168"/>
      <c r="J121" s="168"/>
      <c r="K121" s="168"/>
      <c r="L121" s="168"/>
      <c r="M121" s="168"/>
      <c r="N121" s="168"/>
      <c r="O121" s="168"/>
      <c r="P121" s="168"/>
      <c r="Q121" s="169">
        <f>SUM(Q119:Q120)-0.0001</f>
        <v>369873.12592027884</v>
      </c>
      <c r="R121" s="169"/>
      <c r="S121" s="169"/>
      <c r="T121" s="169"/>
      <c r="U121" s="170">
        <f>SUM(U119:U120)</f>
        <v>369873.12352027884</v>
      </c>
      <c r="V121" s="661"/>
      <c r="W121" s="171">
        <f>X121+Y121+Z121+AA121+AC121</f>
        <v>369873.12352027884</v>
      </c>
      <c r="X121" s="149"/>
      <c r="Y121" s="149"/>
      <c r="Z121" s="172">
        <f>SUM(Z119:Z120)</f>
        <v>221923.8745121673</v>
      </c>
      <c r="AA121" s="172">
        <f>AA120</f>
        <v>147949.24900811154</v>
      </c>
      <c r="AB121" s="172"/>
      <c r="AC121" s="149"/>
    </row>
    <row r="122" spans="1:34" ht="27.6" customHeight="1" thickTop="1" thickBot="1" x14ac:dyDescent="0.35">
      <c r="A122" s="241" t="s">
        <v>22</v>
      </c>
      <c r="B122" s="173"/>
      <c r="C122" s="173"/>
      <c r="D122" s="173"/>
      <c r="E122" s="173"/>
      <c r="F122" s="173"/>
      <c r="G122" s="173"/>
      <c r="H122" s="173"/>
      <c r="I122" s="173"/>
      <c r="J122" s="173"/>
      <c r="K122" s="173"/>
      <c r="L122" s="173"/>
      <c r="M122" s="173"/>
      <c r="N122" s="173"/>
      <c r="O122" s="173"/>
      <c r="P122" s="173"/>
      <c r="Q122" s="174" t="e">
        <f>Q117+Q121-0.009</f>
        <v>#REF!</v>
      </c>
      <c r="R122" s="174"/>
      <c r="S122" s="174"/>
      <c r="T122" s="174"/>
      <c r="U122" s="175">
        <f>U84+U116+U121</f>
        <v>4068604.3487230674</v>
      </c>
      <c r="V122" s="662"/>
      <c r="W122" s="171" t="e">
        <f>SUM(X122:AC122)</f>
        <v>#REF!</v>
      </c>
      <c r="X122" s="176"/>
      <c r="Y122" s="177">
        <f>Y117</f>
        <v>37733.14</v>
      </c>
      <c r="Z122" s="177">
        <f>Z117+Z121</f>
        <v>225730.33451216729</v>
      </c>
      <c r="AA122" s="177">
        <f>AA121</f>
        <v>147949.24900811154</v>
      </c>
      <c r="AB122" s="177" t="e">
        <f>AB84</f>
        <v>#REF!</v>
      </c>
      <c r="AC122" s="178">
        <f>AC117</f>
        <v>0</v>
      </c>
      <c r="AH122" s="106"/>
    </row>
    <row r="123" spans="1:34" ht="21.6" customHeight="1" thickTop="1" x14ac:dyDescent="0.25">
      <c r="A123" s="216" t="s">
        <v>63</v>
      </c>
      <c r="B123" s="179">
        <v>0.1</v>
      </c>
      <c r="G123" s="20">
        <f>U122</f>
        <v>4068604.3487230674</v>
      </c>
      <c r="H123" s="20"/>
      <c r="I123" s="20"/>
      <c r="J123" s="20"/>
      <c r="K123" s="20"/>
      <c r="Q123" s="180">
        <f>G123*10%</f>
        <v>406860.43487230677</v>
      </c>
      <c r="R123" s="180"/>
      <c r="S123" s="180"/>
      <c r="T123" s="180"/>
      <c r="U123" s="160">
        <f>U122*B123</f>
        <v>406860.43487230677</v>
      </c>
      <c r="V123" s="660"/>
      <c r="W123" s="171"/>
      <c r="X123" s="106"/>
      <c r="Y123" s="106"/>
      <c r="Z123" s="106"/>
      <c r="AA123" s="106"/>
      <c r="AB123" s="106"/>
      <c r="AC123" s="106">
        <f>AC122*10%</f>
        <v>0</v>
      </c>
    </row>
    <row r="124" spans="1:34" ht="15.75" x14ac:dyDescent="0.25">
      <c r="A124" s="242" t="s">
        <v>23</v>
      </c>
      <c r="B124" s="181"/>
      <c r="C124" s="181"/>
      <c r="D124" s="181"/>
      <c r="E124" s="181"/>
      <c r="F124" s="181"/>
      <c r="G124" s="181"/>
      <c r="H124" s="181"/>
      <c r="I124" s="181"/>
      <c r="J124" s="181"/>
      <c r="K124" s="181"/>
      <c r="L124" s="181"/>
      <c r="M124" s="181"/>
      <c r="N124" s="181"/>
      <c r="O124" s="181"/>
      <c r="P124" s="181"/>
      <c r="Q124" s="182" t="e">
        <f>Q122+Q123</f>
        <v>#REF!</v>
      </c>
      <c r="R124" s="182"/>
      <c r="S124" s="182"/>
      <c r="T124" s="182"/>
      <c r="U124" s="183">
        <f>U122+U123</f>
        <v>4475464.7835953739</v>
      </c>
      <c r="V124" s="663"/>
      <c r="W124" s="171"/>
      <c r="X124" s="184"/>
      <c r="Y124" s="184"/>
      <c r="Z124" s="184"/>
      <c r="AA124" s="184"/>
      <c r="AB124" s="184"/>
      <c r="AC124" s="184">
        <f t="shared" ref="AC124" si="14">AC122+AC123</f>
        <v>0</v>
      </c>
    </row>
    <row r="125" spans="1:34" x14ac:dyDescent="0.25">
      <c r="K125" s="20"/>
      <c r="W125" s="171"/>
      <c r="Y125" s="106"/>
    </row>
    <row r="126" spans="1:34" ht="30.75" customHeight="1" x14ac:dyDescent="0.25">
      <c r="M126" s="20"/>
      <c r="Q126" s="20"/>
      <c r="R126" s="20"/>
      <c r="S126" s="20"/>
      <c r="T126" s="20"/>
      <c r="U126" s="106"/>
      <c r="V126" s="110"/>
      <c r="Y126" s="185"/>
    </row>
    <row r="127" spans="1:34" x14ac:dyDescent="0.25">
      <c r="Q127" s="186"/>
      <c r="R127" s="186"/>
      <c r="S127" s="186"/>
      <c r="T127" s="186"/>
      <c r="W127" s="1707" t="s">
        <v>64</v>
      </c>
      <c r="X127" s="1707"/>
      <c r="Y127" s="187">
        <f>X122+Y122+Z122+AA122</f>
        <v>411412.72352027881</v>
      </c>
      <c r="Z127" s="263">
        <v>2074562.9220066876</v>
      </c>
      <c r="AA127" s="171"/>
      <c r="AB127" s="188"/>
      <c r="AC127" s="189"/>
    </row>
    <row r="128" spans="1:34" x14ac:dyDescent="0.25">
      <c r="G128" s="190"/>
      <c r="H128" s="190"/>
      <c r="I128" s="190"/>
      <c r="J128" s="190"/>
      <c r="N128" s="186"/>
      <c r="O128" s="186"/>
      <c r="P128" s="20"/>
      <c r="U128">
        <v>800</v>
      </c>
      <c r="W128" s="1707" t="s">
        <v>231</v>
      </c>
      <c r="X128" s="1707"/>
      <c r="Y128" s="106">
        <v>31200</v>
      </c>
      <c r="Z128" s="106">
        <f>Y128/U128</f>
        <v>39</v>
      </c>
      <c r="AA128" s="106"/>
    </row>
    <row r="129" spans="5:29" x14ac:dyDescent="0.25">
      <c r="F129" s="191"/>
      <c r="G129" s="192"/>
      <c r="H129" s="192"/>
      <c r="I129" s="192"/>
      <c r="J129" s="193"/>
      <c r="K129" s="194"/>
      <c r="L129" s="195"/>
      <c r="M129" s="195"/>
      <c r="P129" s="196"/>
      <c r="Q129" s="197"/>
      <c r="R129" s="197"/>
      <c r="S129" s="197"/>
      <c r="T129" s="197"/>
      <c r="U129">
        <v>400</v>
      </c>
      <c r="W129" s="198" t="s">
        <v>232</v>
      </c>
      <c r="X129" s="198"/>
      <c r="Y129" s="99">
        <v>22800</v>
      </c>
      <c r="Z129" s="106">
        <f>Y129/U129</f>
        <v>57</v>
      </c>
      <c r="AA129" s="106"/>
    </row>
    <row r="130" spans="5:29" x14ac:dyDescent="0.25">
      <c r="E130" s="195"/>
      <c r="G130" s="199"/>
      <c r="H130" s="199"/>
      <c r="I130" s="199"/>
      <c r="J130" s="193"/>
      <c r="K130" s="179"/>
      <c r="L130" s="194"/>
      <c r="M130" s="194"/>
      <c r="U130">
        <v>50</v>
      </c>
      <c r="W130" t="s">
        <v>233</v>
      </c>
      <c r="Y130" s="264">
        <v>3300</v>
      </c>
      <c r="Z130" s="106">
        <f>Y130/U130</f>
        <v>66</v>
      </c>
      <c r="AA130" s="106"/>
    </row>
    <row r="131" spans="5:29" x14ac:dyDescent="0.25">
      <c r="G131" s="192"/>
      <c r="H131" s="192"/>
      <c r="I131" s="192"/>
      <c r="J131" s="193"/>
      <c r="K131" s="201"/>
      <c r="L131" s="194"/>
      <c r="M131" s="194"/>
      <c r="P131" s="20"/>
      <c r="Y131" s="200">
        <f>SUM(Y127:Y130)</f>
        <v>468712.72352027881</v>
      </c>
      <c r="Z131" s="106"/>
      <c r="AA131" s="106"/>
      <c r="AC131" s="106"/>
    </row>
    <row r="132" spans="5:29" x14ac:dyDescent="0.25">
      <c r="G132" s="20"/>
      <c r="H132" s="20"/>
      <c r="I132" s="20"/>
      <c r="J132" s="202"/>
      <c r="L132" s="193"/>
      <c r="M132" s="193"/>
      <c r="Y132" s="106"/>
    </row>
    <row r="133" spans="5:29" x14ac:dyDescent="0.25">
      <c r="G133" s="20"/>
      <c r="H133" s="20"/>
      <c r="I133" s="20"/>
      <c r="L133" s="202"/>
      <c r="M133" s="202"/>
      <c r="P133" s="203"/>
    </row>
    <row r="134" spans="5:29" x14ac:dyDescent="0.25">
      <c r="G134" s="20"/>
      <c r="H134" s="20"/>
      <c r="I134" s="20"/>
      <c r="K134" s="194"/>
      <c r="P134" s="194"/>
    </row>
    <row r="135" spans="5:29" x14ac:dyDescent="0.25">
      <c r="G135" s="20"/>
      <c r="H135" s="20"/>
      <c r="I135" s="20"/>
      <c r="J135" s="195"/>
      <c r="K135" s="202"/>
      <c r="Y135" s="106"/>
    </row>
    <row r="136" spans="5:29" x14ac:dyDescent="0.25">
      <c r="J136" s="202"/>
    </row>
    <row r="137" spans="5:29" x14ac:dyDescent="0.25">
      <c r="G137" s="20"/>
      <c r="H137" s="20"/>
      <c r="I137" s="20"/>
    </row>
    <row r="138" spans="5:29" x14ac:dyDescent="0.25">
      <c r="U138" s="20"/>
      <c r="V138" s="660"/>
    </row>
  </sheetData>
  <mergeCells count="5">
    <mergeCell ref="A1:W1"/>
    <mergeCell ref="A3:W3"/>
    <mergeCell ref="A4:W4"/>
    <mergeCell ref="W127:X127"/>
    <mergeCell ref="W128:X128"/>
  </mergeCells>
  <printOptions horizontalCentered="1"/>
  <pageMargins left="0.23622047244094491" right="0.23622047244094491" top="0.74803149606299213" bottom="0.74803149606299213" header="0.31496062992125984" footer="0.31496062992125984"/>
  <pageSetup paperSize="8" scale="45" orientation="portrait" r:id="rId1"/>
  <customProperties>
    <customPr name="EpmWorksheetKeyString_GUID" r:id="rId2"/>
  </customProperties>
  <ignoredErrors>
    <ignoredError sqref="U110 N23" formula="1"/>
  </ignoredErrors>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8D4CB6CF2C7F64A9FDAFC0B3AD5BF8A" ma:contentTypeVersion="3" ma:contentTypeDescription="Crear nuevo documento." ma:contentTypeScope="" ma:versionID="e9500fc270b8e5ce73c8014e9b2f8e68">
  <xsd:schema xmlns:xsd="http://www.w3.org/2001/XMLSchema" xmlns:xs="http://www.w3.org/2001/XMLSchema" xmlns:p="http://schemas.microsoft.com/office/2006/metadata/properties" xmlns:ns3="99cede6b-94b9-4d45-8510-3ab2c43326fb" targetNamespace="http://schemas.microsoft.com/office/2006/metadata/properties" ma:root="true" ma:fieldsID="2ee49e62cb27ff9014ad6d9ef9695df1" ns3:_="">
    <xsd:import namespace="99cede6b-94b9-4d45-8510-3ab2c43326fb"/>
    <xsd:element name="properties">
      <xsd:complexType>
        <xsd:sequence>
          <xsd:element name="documentManagement">
            <xsd:complexType>
              <xsd:all>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cede6b-94b9-4d45-8510-3ab2c43326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F6DE98-D01A-481A-BE6D-A57173DBFE0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99cede6b-94b9-4d45-8510-3ab2c43326fb"/>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C49EA06E-0A86-4A6B-91C8-D7165AE2BF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cede6b-94b9-4d45-8510-3ab2c43326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DDB554-C1E6-4A57-B048-6DA057D5F5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26</vt:i4>
      </vt:variant>
      <vt:variant>
        <vt:lpstr>Intervals amb nom</vt:lpstr>
      </vt:variant>
      <vt:variant>
        <vt:i4>7</vt:i4>
      </vt:variant>
    </vt:vector>
  </HeadingPairs>
  <TitlesOfParts>
    <vt:vector size="33" baseType="lpstr">
      <vt:lpstr>ESTIMACIÓ PLUSES</vt:lpstr>
      <vt:lpstr>SALARIS CONVENI 2026</vt:lpstr>
      <vt:lpstr>1 RESUM</vt:lpstr>
      <vt:lpstr>CALCUL ANUAL SASSEP</vt:lpstr>
      <vt:lpstr>CÀLCUL ANUAL SDI</vt:lpstr>
      <vt:lpstr>ANNEX 3BIS POS VTEH </vt:lpstr>
      <vt:lpstr>Full6</vt:lpstr>
      <vt:lpstr>SALARIS CONVENI 2024</vt:lpstr>
      <vt:lpstr>TAULA MARE (proba) (2)</vt:lpstr>
      <vt:lpstr>COMPARATIU DEFINITIU</vt:lpstr>
      <vt:lpstr>COMPARATIU (2)</vt:lpstr>
      <vt:lpstr>TAULA MARE DEF</vt:lpstr>
      <vt:lpstr>Explic vigilancia</vt:lpstr>
      <vt:lpstr>COMPARATIU</vt:lpstr>
      <vt:lpstr>TAULA MARE</vt:lpstr>
      <vt:lpstr>PERIODIFICACIÓN</vt:lpstr>
      <vt:lpstr>VEC</vt:lpstr>
      <vt:lpstr>ANNEX 4</vt:lpstr>
      <vt:lpstr>Full9</vt:lpstr>
      <vt:lpstr>Full1</vt:lpstr>
      <vt:lpstr>PROTECCIÓ</vt:lpstr>
      <vt:lpstr>VEHICLES</vt:lpstr>
      <vt:lpstr>Full4</vt:lpstr>
      <vt:lpstr>Full3</vt:lpstr>
      <vt:lpstr>Full5</vt:lpstr>
      <vt:lpstr>TAULA MARE DEF (prova)</vt:lpstr>
      <vt:lpstr>'CALCUL ANUAL SASSEP'!Àrea_d'impressió</vt:lpstr>
      <vt:lpstr>'CÀLCUL ANUAL SDI'!Àrea_d'impressió</vt:lpstr>
      <vt:lpstr>'SALARIS CONVENI 2024'!Àrea_d'impressió</vt:lpstr>
      <vt:lpstr>'TAULA MARE'!Àrea_d'impressió</vt:lpstr>
      <vt:lpstr>'TAULA MARE (proba) (2)'!Àrea_d'impressió</vt:lpstr>
      <vt:lpstr>'TAULA MARE DEF'!Àrea_d'impressió</vt:lpstr>
      <vt:lpstr>'TAULA MARE DEF (prova)'!Àrea_d'impressió</vt:lpstr>
    </vt:vector>
  </TitlesOfParts>
  <Company>IMI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Ajuntament de Barcelona</dc:creator>
  <cp:lastModifiedBy>VEAS CASTRO, ISMAEL</cp:lastModifiedBy>
  <cp:lastPrinted>2026-07-10T08:25:00Z</cp:lastPrinted>
  <dcterms:created xsi:type="dcterms:W3CDTF">2024-05-14T07:21:28Z</dcterms:created>
  <dcterms:modified xsi:type="dcterms:W3CDTF">2026-10-07T08:14:09Z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0x01010048D4CB6CF2C7F64A9FDAFC0B3AD5BF8A</vt:lpwstr>
  </property>
</Properties>
</file>