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ull 1" sheetId="1" r:id="rId1"/>
  </sheets>
  <calcPr calcId="124519"/>
</workbook>
</file>

<file path=xl/sharedStrings.xml><?xml version="1.0" encoding="utf-8"?>
<sst xmlns="http://schemas.openxmlformats.org/spreadsheetml/2006/main" count="232" uniqueCount="232">
  <si>
    <t xml:space="preserve">Obra:</t>
  </si>
  <si>
    <t xml:space="preserve">ENDERROC STESTEVE_ESMENA5_ABRIL26</t>
  </si>
  <si>
    <t xml:space="preserve">Pressupost</t>
  </si>
  <si>
    <t xml:space="preserve">% C.I.</t>
  </si>
  <si>
    <t xml:space="preserve">Codi</t>
  </si>
  <si>
    <t xml:space="preserve">Tipus</t>
  </si>
  <si>
    <t xml:space="preserve">U</t>
  </si>
  <si>
    <t xml:space="preserve">Resum</t>
  </si>
  <si>
    <t xml:space="preserve">Quantitat</t>
  </si>
  <si>
    <t xml:space="preserve">Preu (€)</t>
  </si>
  <si>
    <t xml:space="preserve">Import (€)</t>
  </si>
  <si>
    <t xml:space="preserve">ENDERROC STESTEVE_ESMENA5_ABRIL26</t>
  </si>
  <si>
    <t xml:space="preserve">Capítol</t>
  </si>
  <si>
    <t xml:space="preserve">00</t>
  </si>
  <si>
    <t xml:space="preserve">Capítol</t>
  </si>
  <si>
    <t xml:space="preserve">TREBALLS PREVIS</t>
  </si>
  <si>
    <t xml:space="preserve">DIS033</t>
  </si>
  <si>
    <t xml:space="preserve">Partida</t>
  </si>
  <si>
    <t xml:space="preserve">m</t>
  </si>
  <si>
    <t xml:space="preserve">Desmuntatge de baixant de fibrociment amb amiant, per a una longitud mitjana a desmuntar de fins a 5 m, amb mitjans i equips adequats, i càrrega mecànica sobre camió.</t>
  </si>
  <si>
    <t xml:space="preserve">GEC020</t>
  </si>
  <si>
    <t xml:space="preserve">Partida</t>
  </si>
  <si>
    <t xml:space="preserve">m³</t>
  </si>
  <si>
    <t xml:space="preserve">Cànon d'abocament per lliurament a gestor autoritzat de residus perillosos, d'elements de fibrociment amb amiant procedents d'una demolició.</t>
  </si>
  <si>
    <t xml:space="preserve">0PC010</t>
  </si>
  <si>
    <t xml:space="preserve">Partida</t>
  </si>
  <si>
    <t xml:space="preserve">m²</t>
  </si>
  <si>
    <t xml:space="preserve">Muntatge i desmuntatge d'estintolament de volta de pedra, amb altura lliure de planta d'entre 3 i 4 m d'alçada, compost per 8 puntals metàl·lics telescòpics, amortitzables en 150 usos, taulers de fusta i perfils metàlics necessaris per decentrar la càrrega als laterals de la volta.</t>
  </si>
  <si>
    <t xml:space="preserve">0MT021</t>
  </si>
  <si>
    <t xml:space="preserve">Partida</t>
  </si>
  <si>
    <t xml:space="preserve">m³</t>
  </si>
  <si>
    <t xml:space="preserve">Retirada i transport amb camió de residus voluminosos acumulats a l'interior del local, incloent mobles, matalassos, fustes, cartrons, inclòs el vehícle a gestor autoritzat.</t>
  </si>
  <si>
    <t xml:space="preserve">ADL005</t>
  </si>
  <si>
    <t xml:space="preserve">Partida</t>
  </si>
  <si>
    <t xml:space="preserve">m²</t>
  </si>
  <si>
    <t xml:space="preserve">Esbrossada i retirada de terres de la coberta. Comprèn els treballs necessaris per retirar arbres, petites plantes, mala herba, brossa, fustes caigudes, runes, escombraries o qualsevol altre material existent, fins a trobar la capa de paviment existent, considerant com mínima 20 cm; i carrega manual a camió.</t>
  </si>
  <si>
    <t xml:space="preserve">ADL005b</t>
  </si>
  <si>
    <t xml:space="preserve">Partida</t>
  </si>
  <si>
    <t xml:space="preserve">m²</t>
  </si>
  <si>
    <t xml:space="preserve">Esbrossada i neteja del terreny, amb mitjans manuals. Comprèn els treballs necessaris per retirar de les zones previstes per a l'edificació o urbanització: arbres, petites plantes, mala herba, brossa, fustes caigudes, runes, escombraries o qualsevol altre material existent, fins a una profunditat no menor que el gruix de la capa de terra vegetal, considerant com mínima 20 cm; i carga manual a camió.</t>
  </si>
  <si>
    <t xml:space="preserve">00</t>
  </si>
  <si>
    <t xml:space="preserve">01</t>
  </si>
  <si>
    <t xml:space="preserve">Capítol</t>
  </si>
  <si>
    <t xml:space="preserve">ENDERROC</t>
  </si>
  <si>
    <t xml:space="preserve">DPT020</t>
  </si>
  <si>
    <t xml:space="preserve">Partida</t>
  </si>
  <si>
    <t xml:space="preserve">m²</t>
  </si>
  <si>
    <t xml:space="preserve">Demolició de partició interior de fàbrica revestida, formada per maó foradat senzill de 4/5 cm d'espessor, amb mitjans manuals, sense afectar a l'estabilitat dels elements constructius contigus, i càrrega manual sobre camió o contenidor.</t>
  </si>
  <si>
    <t xml:space="preserve">DEF040</t>
  </si>
  <si>
    <t xml:space="preserve">Partida</t>
  </si>
  <si>
    <t xml:space="preserve">m³</t>
  </si>
  <si>
    <t xml:space="preserve">Demolició de mur de fàbrica de maó ceràmic calat disposat com a mur de tancament calat en la part baixa de la façana posterior, amb mitjans manuals, i càrrega manual sobre camió o contenidor.</t>
  </si>
  <si>
    <t xml:space="preserve">E000000A</t>
  </si>
  <si>
    <t xml:space="preserve">Partida</t>
  </si>
  <si>
    <t xml:space="preserve">m3</t>
  </si>
  <si>
    <t xml:space="preserve">Enderroc de façanes i murs interiors de pedra calcaria amb morter de calç, incloent les parts de façana de planta primera i segona. Treballs a realitzara amb mitjans manuals i mecànics. Inclou el descens controlat de fragaments en alçada, retirada i carrega de runa spobre camió o contenidor. inclou també la senyalització i les xarxes de protecció i apuntalament si fos necessari.</t>
  </si>
  <si>
    <t xml:space="preserve">Uts.</t>
  </si>
  <si>
    <t xml:space="preserve">Llargada</t>
  </si>
  <si>
    <t xml:space="preserve">Amplada</t>
  </si>
  <si>
    <t xml:space="preserve">Alçada</t>
  </si>
  <si>
    <t xml:space="preserve">Parcial</t>
  </si>
  <si>
    <t xml:space="preserve">Subtotal</t>
  </si>
  <si>
    <t xml:space="preserve">FAÇANA PRINCIPAL</t>
  </si>
  <si>
    <t xml:space="preserve">MUR INTERIOR</t>
  </si>
  <si>
    <t xml:space="preserve">FAÇANA POSTERIOR</t>
  </si>
  <si>
    <t xml:space="preserve">DEF060</t>
  </si>
  <si>
    <t xml:space="preserve">Partida</t>
  </si>
  <si>
    <t xml:space="preserve">m²</t>
  </si>
  <si>
    <t xml:space="preserve">Demolició d'escala de pedra amb volta, amb mitjans manuals, i càrrega manual sobre camió o contenidor.</t>
  </si>
  <si>
    <t xml:space="preserve">DEF050</t>
  </si>
  <si>
    <t xml:space="preserve">Partida</t>
  </si>
  <si>
    <t xml:space="preserve">m²</t>
  </si>
  <si>
    <t xml:space="preserve">Enderroc manual i controlat de volta de pedra existent en sostre de planta baixa, de gruix aproximat de 35 cm, realitzat desde la mateixa planta baixa mitjançant mitjans manuals i mecànics lleugers amb retirada progressiva per franges. Inclou apuntalament provisional de seguretat mitjançant puntals metàl3lics regulables disposats transversalkment a la volta, amb bigues o taulons de repartiment en contacte amb l'intradòs, per evitar col3lapses sobrtats durant els treballs. inclou tall, fragmentació, càrrega manual de runa, evacuació a coontenidor, mitjans auxiliars, proteccions col3lectives i neteja final de la zona de treball.</t>
  </si>
  <si>
    <t xml:space="preserve">DEM020F</t>
  </si>
  <si>
    <t xml:space="preserve">Partida</t>
  </si>
  <si>
    <t xml:space="preserve">U</t>
  </si>
  <si>
    <t xml:space="preserve">Desmuntatge i retirada de bigues de fusta existents d'antics sostre de l'edifici situades entre les mitgeres del edificis adjunts. inclou el tall ern trams manejables, manipulació i descens fins contenidor o camió. Inclou l'accéds amb plataforma elevadora o cistella i mitjans auxiliars pel control i descens dels trams tallats.</t>
  </si>
  <si>
    <t xml:space="preserve">DRF011</t>
  </si>
  <si>
    <t xml:space="preserve">Partida</t>
  </si>
  <si>
    <t xml:space="preserve">m²</t>
  </si>
  <si>
    <t xml:space="preserve">Eliminació d'esquerdejat de calç i ciment, aplicat sobre parament vertical interior de fins a 3 m d'altura, amb mitjans manuals, sense deteriorar la superfície suport, que quedarà al descobert i preparada per al seu posterior revestiment, i càrrega manual sobre camió o contenidor.</t>
  </si>
  <si>
    <t xml:space="preserve">RSK052</t>
  </si>
  <si>
    <t xml:space="preserve">Partida</t>
  </si>
  <si>
    <t xml:space="preserve">m²</t>
  </si>
  <si>
    <t xml:space="preserve">Fresat mecànic de sòl de formigó, eliminant la beurada superficial, obtenint una rugositat d'aproximadament 4 mm, eliminant les parts febles, per a procedir posteriorment a l'aplicació d'un revestiment (no inclòs en aquest preu).</t>
  </si>
  <si>
    <t xml:space="preserve">01</t>
  </si>
  <si>
    <t xml:space="preserve">02</t>
  </si>
  <si>
    <t xml:space="preserve">Capítol</t>
  </si>
  <si>
    <t xml:space="preserve">CONSOLIDACIÓ OBRA</t>
  </si>
  <si>
    <t xml:space="preserve">ANS010</t>
  </si>
  <si>
    <t xml:space="preserve">Partida</t>
  </si>
  <si>
    <t xml:space="preserve">m²</t>
  </si>
  <si>
    <t xml:space="preserve">Recrescut de formigó  de 10 cm d'espessor, realitzada amb formigó HM-15/B/20/I fabricat en central i abocament des de camió, estès i vibrat manual mitjançant regla vibrant, sobre el paviment existent amb formació de pendent del 2% cap a l'eix de parcel·la per l'evacuació d'aigües pluvials.</t>
  </si>
  <si>
    <t xml:space="preserve">ANE010</t>
  </si>
  <si>
    <t xml:space="preserve">Partida</t>
  </si>
  <si>
    <t xml:space="preserve">m²</t>
  </si>
  <si>
    <t xml:space="preserve">Grava per base de solera de 15 cm d'espessor, mitjançant reblert i estès en tongades d'espessor no superior a 20 cm de gravetes procedents de pedrera calcària de 20/40 mm; i posterior compactació mitjançant equip manual amb safata vibrant, sobre l'esplanada homogènia i anivellada; previ rebaix i encaixonat en terra, fent servir els mitjans mecànics.</t>
  </si>
  <si>
    <t xml:space="preserve">ANS010c</t>
  </si>
  <si>
    <t xml:space="preserve">Partida</t>
  </si>
  <si>
    <t xml:space="preserve">m²</t>
  </si>
  <si>
    <t xml:space="preserve">Solera de formigó armat de 10 cm d'espessor, a la zona existent del pati posterior actual de la parcel.la realitzada amb formigó HA-25/B/20/IIa fabricat en central, i abocament des de camió, i malla electrosoldada ME 20x20 Ø 5-5 B 500 T 6x2,20 UNE-EN 10080 com a armadura de repartiment, col·locada sobre separadors homologats, estès i vibrat manual mitjançant regla vibrant, amb pendent del 2% cap a l'eix de la parcel·la per l'evacuació d'aigües pluvials.</t>
  </si>
  <si>
    <t xml:space="preserve">DMC000</t>
  </si>
  <si>
    <t xml:space="preserve">Partida</t>
  </si>
  <si>
    <t xml:space="preserve">m</t>
  </si>
  <si>
    <t xml:space="preserve">Tall de paviment de formigó, mitjançant màquina talladora de paviment, i càrrega manual sobre camió o contenidor.</t>
  </si>
  <si>
    <t xml:space="preserve">ADE010</t>
  </si>
  <si>
    <t xml:space="preserve">Partida</t>
  </si>
  <si>
    <t xml:space="preserve">m³</t>
  </si>
  <si>
    <t xml:space="preserve">Excavació de rases per instal·lació de reixa de recollida d'aigua fins a una profunditat de 0,5 m, en terra d'argila semidura, amb mitjans mecànics, i càrrega a camió.</t>
  </si>
  <si>
    <t xml:space="preserve">UAI010</t>
  </si>
  <si>
    <t xml:space="preserve">Partida</t>
  </si>
  <si>
    <t xml:space="preserve">m</t>
  </si>
  <si>
    <t xml:space="preserve">Bonera longitudinal de fàbrica, de 200 mm d'amplada interior i 400 mm d'altura, amb reixeta d'acer galvanitzat, classe A-15 segons UNE-EN 124 i UNE-EN 1433; prèvia excavació amb mitjans manuals i posterior reomplert de l'extradós amb formigó.</t>
  </si>
  <si>
    <t xml:space="preserve">ASB020</t>
  </si>
  <si>
    <t xml:space="preserve">Partida</t>
  </si>
  <si>
    <t xml:space="preserve">U</t>
  </si>
  <si>
    <t xml:space="preserve">Connexió de l'escomesa de l'edifici a la xarxa general de sanejament del municipi a través de pou de registre. Inclús junt flexible per a l'empalmament de la connexió de servei i morter de ciment per a repàs i brunyiment en l'interior del pou.</t>
  </si>
  <si>
    <t xml:space="preserve">RPE010</t>
  </si>
  <si>
    <t xml:space="preserve">Partida</t>
  </si>
  <si>
    <t xml:space="preserve">m²</t>
  </si>
  <si>
    <t xml:space="preserve">Arrebossat, a bona vista, aplicat sobre un parament vertical exterior, acabat superficial remolinat, amb morter de ciment, tipus GP CSIII W2, armat i reforçat amb malla. inclou la formació de mitja canya tant al mur en contacte amb la paret mitgera com amb la solera.</t>
  </si>
  <si>
    <t xml:space="preserve">Uts.</t>
  </si>
  <si>
    <t xml:space="preserve">Llargada</t>
  </si>
  <si>
    <t xml:space="preserve">Amplada</t>
  </si>
  <si>
    <t xml:space="preserve">Alçada</t>
  </si>
  <si>
    <t xml:space="preserve">Parcial</t>
  </si>
  <si>
    <t xml:space="preserve">Subtotal</t>
  </si>
  <si>
    <t xml:space="preserve">PARET MITGERA PB NUM 32</t>
  </si>
  <si>
    <t xml:space="preserve">PARET MITGER APB NUM 28</t>
  </si>
  <si>
    <t xml:space="preserve">PATI</t>
  </si>
  <si>
    <t xml:space="preserve">0</t>
  </si>
  <si>
    <t xml:space="preserve">QRB010</t>
  </si>
  <si>
    <t xml:space="preserve">Partida</t>
  </si>
  <si>
    <t xml:space="preserve">m</t>
  </si>
  <si>
    <t xml:space="preserve">Vora lateral de coberta amb perfil escopidor d'alumini lacat, de 150 mm d'altura, color gris metàl·lic RAL 9006, amb perforacions trapezoïdals per a la seva fixació i goteró. Inclús adhesiu cimentós, peces especials i silicona neutra. inclou mitjans auxiliars per a l'execució dels treballs.</t>
  </si>
  <si>
    <t xml:space="preserve">Uts.</t>
  </si>
  <si>
    <t xml:space="preserve">Llargada</t>
  </si>
  <si>
    <t xml:space="preserve">Amplada</t>
  </si>
  <si>
    <t xml:space="preserve">Alçada</t>
  </si>
  <si>
    <t xml:space="preserve">Parcial</t>
  </si>
  <si>
    <t xml:space="preserve">Subtotal</t>
  </si>
  <si>
    <t xml:space="preserve">perfil coberta 1</t>
  </si>
  <si>
    <t xml:space="preserve">perfil coberta 2</t>
  </si>
  <si>
    <t xml:space="preserve">CO311</t>
  </si>
  <si>
    <t xml:space="preserve">Partida</t>
  </si>
  <si>
    <t xml:space="preserve">KG</t>
  </si>
  <si>
    <t xml:space="preserve">Perfil HEB 160 S275JR y L80.8, incluso corte, taller, soldadura de chapas extremos, transporte, tratamiento anticorrosión (C3, ?120 ?m) y montaje en obra con medios auxiliares de elevación.</t>
  </si>
  <si>
    <t xml:space="preserve">CO312</t>
  </si>
  <si>
    <t xml:space="preserve">Partida</t>
  </si>
  <si>
    <t xml:space="preserve">KG</t>
  </si>
  <si>
    <t xml:space="preserve">Placa de reparto 400×300×12 mm S275JR, incluso corte, taladrado, soldadura al codal en taller y tratamiento anticorrosión</t>
  </si>
  <si>
    <t xml:space="preserve">CO313</t>
  </si>
  <si>
    <t xml:space="preserve">Partida</t>
  </si>
  <si>
    <t xml:space="preserve">UD</t>
  </si>
  <si>
    <t xml:space="preserve">Anclaje químico M12 HILTI HIT-HY 170 o equivalente con ETA, varilla M12 clase 5.8 galvanizada, hef=150 mm. Incluye taladro, limpieza, inyección y montaje.</t>
  </si>
  <si>
    <t xml:space="preserve">CO314</t>
  </si>
  <si>
    <t xml:space="preserve">Partida</t>
  </si>
  <si>
    <t xml:space="preserve">UD</t>
  </si>
  <si>
    <t xml:space="preserve">Ensayo de arrancamiento sobre anclaje químico colocado, carga 8 kN, mantenimiento 2 min. Informe escrito</t>
  </si>
  <si>
    <t xml:space="preserve">CO315</t>
  </si>
  <si>
    <t xml:space="preserve">Partida</t>
  </si>
  <si>
    <t xml:space="preserve">UD</t>
  </si>
  <si>
    <t xml:space="preserve">Desplazamiento a obra de laboratorio acreditado para ensayos de arrancamiento.</t>
  </si>
  <si>
    <t xml:space="preserve">CO316</t>
  </si>
  <si>
    <t xml:space="preserve">Partida</t>
  </si>
  <si>
    <t xml:space="preserve">KG</t>
  </si>
  <si>
    <t xml:space="preserve">Mortero sin retracción tipo MasterFlow 928 para retacado de huelgos placa-fábrica</t>
  </si>
  <si>
    <t xml:space="preserve">CO317</t>
  </si>
  <si>
    <t xml:space="preserve">Partida</t>
  </si>
  <si>
    <t xml:space="preserve">UD</t>
  </si>
  <si>
    <t xml:space="preserve">Andamio tubular homologado o plataforma elevadora para trabajos de montaje en altura (h ? 2,5-3 m), incluso montaje y desmontaje.</t>
  </si>
  <si>
    <t xml:space="preserve">CO318</t>
  </si>
  <si>
    <t xml:space="preserve">Partida</t>
  </si>
  <si>
    <t xml:space="preserve">UD</t>
  </si>
  <si>
    <t xml:space="preserve">Replanteo topográfico preciso de la posición de codales, con instalación de hitos de referencia en medianeras</t>
  </si>
  <si>
    <t xml:space="preserve">02</t>
  </si>
  <si>
    <t xml:space="preserve">03</t>
  </si>
  <si>
    <t xml:space="preserve">Capítol</t>
  </si>
  <si>
    <t xml:space="preserve">TANCAMENTS</t>
  </si>
  <si>
    <t xml:space="preserve">RPE010c</t>
  </si>
  <si>
    <t xml:space="preserve">Partida</t>
  </si>
  <si>
    <t xml:space="preserve">m²</t>
  </si>
  <si>
    <t xml:space="preserve">Arrebossat de ciment, aplicat sobre mur de façana que es manté en planta baixa, acabat rugós, amb morter de ciment, tipus GP CSIII W2, armat i reforçat amb malla.</t>
  </si>
  <si>
    <t xml:space="preserve">Uts.</t>
  </si>
  <si>
    <t xml:space="preserve">Llargada</t>
  </si>
  <si>
    <t xml:space="preserve">Amplada</t>
  </si>
  <si>
    <t xml:space="preserve">Alçada</t>
  </si>
  <si>
    <t xml:space="preserve">Parcial</t>
  </si>
  <si>
    <t xml:space="preserve">Subtotal</t>
  </si>
  <si>
    <t xml:space="preserve">FAÇANA PRINCIPAL</t>
  </si>
  <si>
    <t xml:space="preserve">FAÇANA POSTERIOR</t>
  </si>
  <si>
    <t xml:space="preserve">MITGERA NUM 32</t>
  </si>
  <si>
    <t xml:space="preserve">MITGERA NUM 28</t>
  </si>
  <si>
    <t xml:space="preserve">MURS PATI</t>
  </si>
  <si>
    <t xml:space="preserve">03</t>
  </si>
  <si>
    <t xml:space="preserve">04</t>
  </si>
  <si>
    <t xml:space="preserve">Capítol</t>
  </si>
  <si>
    <t xml:space="preserve">GESTIÓ DE RESIDUS</t>
  </si>
  <si>
    <t xml:space="preserve">GRA020b</t>
  </si>
  <si>
    <t xml:space="preserve">Partida</t>
  </si>
  <si>
    <t xml:space="preserve">m³</t>
  </si>
  <si>
    <t xml:space="preserve">Transport amb camió de residus inertes de maons, teules i materials ceràmics, pedra, morters i formigons produïts en obra de demolició, a abocador específic, instal·lació de tractament de residus de construcció i demolició externa a l'obra o centre de valorització o eliminació de residus, situat a 10 km de distància.</t>
  </si>
  <si>
    <t xml:space="preserve">GTA020c</t>
  </si>
  <si>
    <t xml:space="preserve">Partida</t>
  </si>
  <si>
    <t xml:space="preserve">m³</t>
  </si>
  <si>
    <t xml:space="preserve">Transport de terres amb camió dels productes procedents de l'excavació de la coberta i el pati posterior a abocador específic, instal·lació de tractament de residus de construcció i demolició externa a l'obra o centre de valorització o eliminació de residus, situat a una distància màxima de 10 km. Inclou cànon del gestor</t>
  </si>
  <si>
    <t xml:space="preserve">GRB020</t>
  </si>
  <si>
    <t xml:space="preserve">Partida</t>
  </si>
  <si>
    <t xml:space="preserve">m³</t>
  </si>
  <si>
    <t xml:space="preserve">Cànon d'abocament per lliurament de mescla sense classificar de residus inerts produïts a obres de construcció i/o demolició, en abocador específic, instal·lació de tractament de residus de construcció i demolició externa a l'obra o centre de valorització o eliminació de residus.</t>
  </si>
  <si>
    <t xml:space="preserve">GTB020</t>
  </si>
  <si>
    <t xml:space="preserve">Partida</t>
  </si>
  <si>
    <t xml:space="preserve">m³</t>
  </si>
  <si>
    <t xml:space="preserve">Cànon d'abocament per lliurament de terres procedents de l'excavació, en abocador específic, instal·lació de tractament de residus de construcció i demolició externa a l'obra o centre de valorització o eliminació de residus.</t>
  </si>
  <si>
    <t xml:space="preserve">04</t>
  </si>
  <si>
    <t xml:space="preserve">05</t>
  </si>
  <si>
    <t xml:space="preserve">Capítol</t>
  </si>
  <si>
    <t xml:space="preserve">SEGURETAT I SALUT</t>
  </si>
  <si>
    <t xml:space="preserve">S000000A</t>
  </si>
  <si>
    <t xml:space="preserve">Partida</t>
  </si>
  <si>
    <t xml:space="preserve">pa</t>
  </si>
  <si>
    <t xml:space="preserve">Seguretat i Salut a l'obra</t>
  </si>
  <si>
    <t xml:space="preserve">05</t>
  </si>
  <si>
    <t xml:space="preserve">06</t>
  </si>
  <si>
    <t xml:space="preserve">Capítol</t>
  </si>
  <si>
    <t xml:space="preserve">DOCUMENTACIO</t>
  </si>
  <si>
    <t xml:space="preserve">ACT00001</t>
  </si>
  <si>
    <t xml:space="preserve">Partida</t>
  </si>
  <si>
    <t xml:space="preserve">U</t>
  </si>
  <si>
    <t xml:space="preserve">aixecament d'acta notarial de l’estat de les finques veïnes existents</t>
  </si>
  <si>
    <t xml:space="preserve">06</t>
  </si>
  <si>
    <t xml:space="preserve">ENDERROC STESTEVE_ESMENA5_ABRIL26</t>
  </si>
</sst>
</file>

<file path=xl/styles.xml><?xml version="1.0" encoding="utf-8"?>
<styleSheet xmlns="http://schemas.openxmlformats.org/spreadsheetml/2006/main">
  <numFmts count="2">
    <numFmt numFmtId="200" formatCode="#,##0.00"/>
    <numFmt numFmtId="201" formatCode="#,##0.000"/>
  </numFmts>
  <fonts count="7">
    <font>
      <sz val="12.00"/>
      <color rgb="FF000000"/>
      <name val="Verdana"/>
      <family val="2"/>
    </font>
    <font>
      <b/>
      <sz val="9.96"/>
      <color rgb="FF000000"/>
      <name val="Arial"/>
      <family val="2"/>
    </font>
    <font>
      <sz val="8.04"/>
      <color rgb="FF000000"/>
      <name val="Arial"/>
      <family val="2"/>
    </font>
    <font>
      <b/>
      <sz val="9.00"/>
      <color rgb="FF000000"/>
      <name val="Arial"/>
      <family val="2"/>
    </font>
    <font>
      <b/>
      <sz val="8.04"/>
      <color rgb="FF000000"/>
      <name val="Arial"/>
      <family val="2"/>
    </font>
    <font>
      <sz val="8.04"/>
      <color rgb="FF808080"/>
      <name val="Arial"/>
      <family val="2"/>
    </font>
    <font>
      <sz val="8.04"/>
      <color rgb="FF1010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FFFBF"/>
      </patternFill>
    </fill>
    <fill>
      <patternFill patternType="solid">
        <fgColor rgb="FF269900"/>
      </patternFill>
    </fill>
    <fill>
      <patternFill patternType="solid">
        <fgColor rgb="FF3FB219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>
      <alignment horizontal="left" vertical="center" wrapText="0"/>
    </xf>
    <xf numFmtId="0" fontId="1" fillId="0" borderId="0" xfId="0" applyFont="1" applyAlignment="1">
      <alignment horizontal="right" vertical="top" wrapText="1"/>
    </xf>
    <xf numFmtId="0" fontId="1" fillId="2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2" borderId="0" xfId="0" applyFont="1" applyAlignment="1">
      <alignment horizontal="left" vertical="top" wrapText="1"/>
    </xf>
    <xf numFmtId="0" fontId="0" fillId="2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2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2" borderId="1" xfId="0" applyFont="1" applyAlignment="1">
      <alignment horizontal="left" vertical="top" wrapText="1"/>
    </xf>
    <xf numFmtId="0" fontId="0" fillId="2" borderId="1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2" borderId="1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3" borderId="2" xfId="0" applyFont="1" applyAlignment="1">
      <alignment horizontal="left" vertical="top" wrapText="1"/>
    </xf>
    <xf numFmtId="0" fontId="0" fillId="3" borderId="2" xfId="0" applyFont="1" applyAlignment="1">
      <alignment horizontal="left" vertical="top" wrapText="1"/>
    </xf>
    <xf numFmtId="0" fontId="4" fillId="3" borderId="2" xfId="0" applyFont="1" applyAlignment="1">
      <alignment horizontal="justify" vertical="top" wrapText="1"/>
    </xf>
    <xf numFmtId="200" fontId="4" fillId="0" borderId="0" xfId="0" applyFont="1" applyAlignment="1">
      <alignment horizontal="right" vertical="top" wrapText="1"/>
    </xf>
    <xf numFmtId="200" fontId="4" fillId="3" borderId="2" xfId="0" applyFont="1" applyAlignment="1">
      <alignment horizontal="right" vertical="top" wrapText="1"/>
    </xf>
    <xf numFmtId="0" fontId="4" fillId="4" borderId="0" xfId="0" applyFont="1" applyAlignment="1">
      <alignment horizontal="left" vertical="top" wrapText="1"/>
    </xf>
    <xf numFmtId="0" fontId="0" fillId="4" borderId="0" xfId="0" applyFont="1" applyAlignment="1">
      <alignment horizontal="left" vertical="top" wrapText="1"/>
    </xf>
    <xf numFmtId="0" fontId="4" fillId="0" borderId="0" xfId="0" applyFont="1" applyAlignment="1">
      <alignment horizontal="justify" vertical="top" wrapText="1"/>
    </xf>
    <xf numFmtId="0" fontId="4" fillId="4" borderId="0" xfId="0" applyFont="1" applyAlignment="1">
      <alignment horizontal="justify" vertical="top" wrapText="1"/>
    </xf>
    <xf numFmtId="200" fontId="4" fillId="4" borderId="0" xfId="0" applyFont="1" applyAlignment="1">
      <alignment horizontal="right" vertical="top" wrapText="1"/>
    </xf>
    <xf numFmtId="0" fontId="2" fillId="0" borderId="0" xfId="0" applyFont="1" applyAlignment="1">
      <alignment horizontal="justify" vertical="top" wrapText="1"/>
    </xf>
    <xf numFmtId="201" fontId="2" fillId="0" borderId="0" xfId="0" applyFont="1" applyAlignment="1">
      <alignment horizontal="right" vertical="top" wrapText="1"/>
    </xf>
    <xf numFmtId="200" fontId="2" fillId="0" borderId="0" xfId="0" applyFont="1" applyAlignment="1">
      <alignment horizontal="right" vertical="top" wrapText="1"/>
    </xf>
    <xf numFmtId="0" fontId="0" fillId="0" borderId="1" xfId="0" applyFont="1" applyAlignment="1">
      <alignment horizontal="center" vertical="center" wrapText="1"/>
    </xf>
    <xf numFmtId="0" fontId="4" fillId="4" borderId="1" xfId="0" applyFont="1" applyAlignment="1">
      <alignment horizontal="left" vertical="top" wrapText="1"/>
    </xf>
    <xf numFmtId="0" fontId="0" fillId="4" borderId="1" xfId="0" applyFont="1" applyAlignment="1">
      <alignment horizontal="left" vertical="top" wrapText="1"/>
    </xf>
    <xf numFmtId="200" fontId="4" fillId="4" borderId="1" xfId="0" applyFont="1" applyAlignment="1">
      <alignment horizontal="right" vertical="top" wrapText="1"/>
    </xf>
    <xf numFmtId="0" fontId="4" fillId="4" borderId="2" xfId="0" applyFont="1" applyAlignment="1">
      <alignment horizontal="left" vertical="top" wrapText="1"/>
    </xf>
    <xf numFmtId="0" fontId="0" fillId="4" borderId="2" xfId="0" applyFont="1" applyAlignment="1">
      <alignment horizontal="left" vertical="top" wrapText="1"/>
    </xf>
    <xf numFmtId="0" fontId="4" fillId="4" borderId="2" xfId="0" applyFont="1" applyAlignment="1">
      <alignment horizontal="justify" vertical="top" wrapText="1"/>
    </xf>
    <xf numFmtId="200" fontId="4" fillId="4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center" wrapText="1"/>
    </xf>
    <xf numFmtId="0" fontId="5" fillId="0" borderId="3" xfId="0" applyFont="1" applyAlignment="1">
      <alignment horizontal="lef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4" xfId="0" applyFont="1" applyAlignment="1">
      <alignment horizontal="left" vertical="top" wrapText="1"/>
    </xf>
    <xf numFmtId="0" fontId="2" fillId="0" borderId="4" xfId="0" applyFont="1" applyAlignment="1">
      <alignment horizontal="right" vertical="top" wrapText="1"/>
    </xf>
    <xf numFmtId="201" fontId="2" fillId="0" borderId="4" xfId="0" applyFont="1" applyAlignment="1">
      <alignment horizontal="right" vertical="top" wrapText="1"/>
    </xf>
    <xf numFmtId="201" fontId="5" fillId="0" borderId="0" xfId="0" applyFont="1" applyAlignment="1">
      <alignment horizontal="right" vertical="top" wrapText="1"/>
    </xf>
    <xf numFmtId="201" fontId="5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center" wrapText="1"/>
    </xf>
    <xf numFmtId="201" fontId="6" fillId="0" borderId="0" xfId="0" applyFont="1" applyAlignment="1">
      <alignment horizontal="right" vertical="top" wrapText="1"/>
    </xf>
    <xf numFmtId="0" fontId="0" fillId="0" borderId="5" xfId="0" applyFont="1" applyAlignment="1">
      <alignment horizontal="center" vertical="center" wrapText="1"/>
    </xf>
    <xf numFmtId="0" fontId="4" fillId="3" borderId="5" xfId="0" applyFont="1" applyAlignment="1">
      <alignment horizontal="left" vertical="top" wrapText="1"/>
    </xf>
    <xf numFmtId="0" fontId="0" fillId="3" borderId="5" xfId="0" applyFont="1" applyAlignment="1">
      <alignment horizontal="left" vertical="top" wrapText="1"/>
    </xf>
    <xf numFmtId="200" fontId="4" fillId="3" borderId="5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43" customWidth="1"/>
    <col min="2" max="2" width="6.57" customWidth="1"/>
    <col min="3" max="3" width="3.14" customWidth="1"/>
    <col min="4" max="4" width="17.74" customWidth="1"/>
    <col min="5" max="5" width="10.33" customWidth="1"/>
    <col min="6" max="6" width="5.61" customWidth="1"/>
    <col min="7" max="7" width="5.59" customWidth="1"/>
    <col min="8" max="8" width="5.72" customWidth="1"/>
    <col min="9" max="9" width="4.92" customWidth="1"/>
    <col min="10" max="10" width="6.20" customWidth="1"/>
    <col min="11" max="11" width="8.16" customWidth="1"/>
    <col min="12" max="12" width="8.08" customWidth="1"/>
    <col min="13" max="13" width="8.16" customWidth="1"/>
  </cols>
  <sheetData>
    <row r="1" spans="1:13" ht="17.76" thickBot="1" customHeight="1">
      <c r="A1" s="2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7.76" thickBot="1" customHeight="1">
      <c r="A2" s="4" t="s">
        <v>2</v>
      </c>
      <c r="B2" s="4"/>
      <c r="C2" s="4"/>
      <c r="D2" s="5"/>
      <c r="E2" s="5"/>
      <c r="F2" s="5"/>
      <c r="G2" s="5"/>
      <c r="H2" s="5"/>
      <c r="I2" s="5"/>
      <c r="J2" s="5"/>
      <c r="K2" s="5"/>
      <c r="L2" s="7" t="s">
        <v>3</v>
      </c>
      <c r="M2" s="9">
        <v>3</v>
      </c>
    </row>
    <row r="3" spans="1:13" ht="16.68" thickBot="1" customHeight="1">
      <c r="A3" s="11" t="s">
        <v>4</v>
      </c>
      <c r="B3" s="11" t="s">
        <v>5</v>
      </c>
      <c r="C3" s="11" t="s">
        <v>6</v>
      </c>
      <c r="D3" s="11" t="s">
        <v>7</v>
      </c>
      <c r="E3" s="12"/>
      <c r="F3" s="12"/>
      <c r="G3" s="12"/>
      <c r="H3" s="12"/>
      <c r="I3" s="12"/>
      <c r="J3" s="12"/>
      <c r="K3" s="14" t="s">
        <v>8</v>
      </c>
      <c r="L3" s="14" t="s">
        <v>9</v>
      </c>
      <c r="M3" s="14" t="s">
        <v>10</v>
      </c>
    </row>
    <row r="4" spans="1:13" ht="44.28" thickBot="1" customHeight="1">
      <c r="A4" s="16" t="s">
        <v>11</v>
      </c>
      <c r="B4" s="16" t="s">
        <v>12</v>
      </c>
      <c r="C4" s="17"/>
      <c r="D4" s="18"/>
      <c r="E4" s="18"/>
      <c r="F4" s="18"/>
      <c r="G4" s="18"/>
      <c r="H4" s="18"/>
      <c r="I4" s="18"/>
      <c r="J4" s="18"/>
      <c r="K4" s="17"/>
      <c r="L4" s="20">
        <f ca="1">L75</f>
        <v>0</v>
      </c>
      <c r="M4" s="20">
        <f ca="1">ROUND(L4,2)</f>
        <v>0</v>
      </c>
    </row>
    <row r="5" spans="1:13" ht="15.48" thickBot="1" customHeight="1">
      <c r="A5" s="21" t="s">
        <v>13</v>
      </c>
      <c r="B5" s="21" t="s">
        <v>14</v>
      </c>
      <c r="C5" s="22"/>
      <c r="D5" s="24" t="s">
        <v>15</v>
      </c>
      <c r="E5" s="24"/>
      <c r="F5" s="24"/>
      <c r="G5" s="24"/>
      <c r="H5" s="24"/>
      <c r="I5" s="24"/>
      <c r="J5" s="24"/>
      <c r="K5" s="22"/>
      <c r="L5" s="25">
        <f ca="1">L12</f>
        <v>0</v>
      </c>
      <c r="M5" s="25">
        <f ca="1">ROUND(L5,2)</f>
        <v>0</v>
      </c>
    </row>
    <row r="6" spans="1:13" ht="21.36" thickBot="1" customHeight="1">
      <c r="A6" s="15" t="s">
        <v>16</v>
      </c>
      <c r="B6" s="8" t="s">
        <v>17</v>
      </c>
      <c r="C6" s="8" t="s">
        <v>18</v>
      </c>
      <c r="D6" s="26" t="s">
        <v>19</v>
      </c>
      <c r="E6" s="26"/>
      <c r="F6" s="26"/>
      <c r="G6" s="26"/>
      <c r="H6" s="26"/>
      <c r="I6" s="26"/>
      <c r="J6" s="26"/>
      <c r="K6" s="27">
        <f ca="1">ROUND(6.00,2)</f>
        <v>0</v>
      </c>
      <c r="L6" s="28">
        <f ca="1">ROUND(565.240*(1+M2/100),2)</f>
        <v>0</v>
      </c>
      <c r="M6" s="28">
        <f ca="1">ROUND(K6*L6,2)</f>
        <v>0</v>
      </c>
    </row>
    <row r="7" spans="1:13" ht="21.36" thickBot="1" customHeight="1">
      <c r="A7" s="15" t="s">
        <v>20</v>
      </c>
      <c r="B7" s="8" t="s">
        <v>21</v>
      </c>
      <c r="C7" s="8" t="s">
        <v>22</v>
      </c>
      <c r="D7" s="26" t="s">
        <v>23</v>
      </c>
      <c r="E7" s="26"/>
      <c r="F7" s="26"/>
      <c r="G7" s="26"/>
      <c r="H7" s="26"/>
      <c r="I7" s="26"/>
      <c r="J7" s="26"/>
      <c r="K7" s="27">
        <f ca="1">ROUND(0.50,2)</f>
        <v>0</v>
      </c>
      <c r="L7" s="28">
        <f ca="1">ROUND(163.290*(1+M2/100),2)</f>
        <v>0</v>
      </c>
      <c r="M7" s="28">
        <f ca="1">ROUND(K7*L7,2)</f>
        <v>0</v>
      </c>
    </row>
    <row r="8" spans="1:13" ht="30.60" thickBot="1" customHeight="1">
      <c r="A8" s="15" t="s">
        <v>24</v>
      </c>
      <c r="B8" s="8" t="s">
        <v>25</v>
      </c>
      <c r="C8" s="8" t="s">
        <v>26</v>
      </c>
      <c r="D8" s="26" t="s">
        <v>27</v>
      </c>
      <c r="E8" s="26"/>
      <c r="F8" s="26"/>
      <c r="G8" s="26"/>
      <c r="H8" s="26"/>
      <c r="I8" s="26"/>
      <c r="J8" s="26"/>
      <c r="K8" s="27">
        <f ca="1">ROUND(25.00,2)</f>
        <v>0</v>
      </c>
      <c r="L8" s="28">
        <f ca="1">ROUND(71.070*(1+M2/100),2)</f>
        <v>0</v>
      </c>
      <c r="M8" s="28">
        <f ca="1">ROUND(K8*L8,2)</f>
        <v>0</v>
      </c>
    </row>
    <row r="9" spans="1:13" ht="21.36" thickBot="1" customHeight="1">
      <c r="A9" s="15" t="s">
        <v>28</v>
      </c>
      <c r="B9" s="8" t="s">
        <v>29</v>
      </c>
      <c r="C9" s="8" t="s">
        <v>30</v>
      </c>
      <c r="D9" s="26" t="s">
        <v>31</v>
      </c>
      <c r="E9" s="26"/>
      <c r="F9" s="26"/>
      <c r="G9" s="26"/>
      <c r="H9" s="26"/>
      <c r="I9" s="26"/>
      <c r="J9" s="26"/>
      <c r="K9" s="27">
        <f ca="1">ROUND(50.00,2)</f>
        <v>0</v>
      </c>
      <c r="L9" s="28">
        <f ca="1">ROUND(62.580*(1+M2/100),2)</f>
        <v>0</v>
      </c>
      <c r="M9" s="28">
        <f ca="1">ROUND(K9*L9,2)</f>
        <v>0</v>
      </c>
    </row>
    <row r="10" spans="1:13" ht="30.60" thickBot="1" customHeight="1">
      <c r="A10" s="15" t="s">
        <v>32</v>
      </c>
      <c r="B10" s="8" t="s">
        <v>33</v>
      </c>
      <c r="C10" s="8" t="s">
        <v>34</v>
      </c>
      <c r="D10" s="26" t="s">
        <v>35</v>
      </c>
      <c r="E10" s="26"/>
      <c r="F10" s="26"/>
      <c r="G10" s="26"/>
      <c r="H10" s="26"/>
      <c r="I10" s="26"/>
      <c r="J10" s="26"/>
      <c r="K10" s="27">
        <f ca="1">ROUND(85.00,2)</f>
        <v>0</v>
      </c>
      <c r="L10" s="28">
        <f ca="1">ROUND(36.070*(1+M2/100),2)</f>
        <v>0</v>
      </c>
      <c r="M10" s="28">
        <f ca="1">ROUND(K10*L10,2)</f>
        <v>0</v>
      </c>
    </row>
    <row r="11" spans="1:13" ht="39.84" thickBot="1" customHeight="1">
      <c r="A11" s="15" t="s">
        <v>36</v>
      </c>
      <c r="B11" s="8" t="s">
        <v>37</v>
      </c>
      <c r="C11" s="8" t="s">
        <v>38</v>
      </c>
      <c r="D11" s="26" t="s">
        <v>39</v>
      </c>
      <c r="E11" s="26"/>
      <c r="F11" s="26"/>
      <c r="G11" s="26"/>
      <c r="H11" s="26"/>
      <c r="I11" s="26"/>
      <c r="J11" s="26"/>
      <c r="K11" s="27">
        <f ca="1">ROUND(25.00,2)</f>
        <v>0</v>
      </c>
      <c r="L11" s="28">
        <f ca="1">ROUND(17.850*(1+M2/100),2)</f>
        <v>0</v>
      </c>
      <c r="M11" s="28">
        <f ca="1">ROUND(K11*L11,2)</f>
        <v>0</v>
      </c>
    </row>
    <row r="12" spans="1:13" ht="15.48" thickBot="1" customHeight="1">
      <c r="A12" s="29"/>
      <c r="B12" s="29"/>
      <c r="C12" s="29"/>
      <c r="D12" s="30" t="s">
        <v>40</v>
      </c>
      <c r="E12" s="31"/>
      <c r="F12" s="31"/>
      <c r="G12" s="31"/>
      <c r="H12" s="31"/>
      <c r="I12" s="31"/>
      <c r="J12" s="31"/>
      <c r="K12" s="31"/>
      <c r="L12" s="32">
        <f ca="1">M6+M7+M8+M9+M10+M11</f>
        <v>0</v>
      </c>
      <c r="M12" s="32">
        <f ca="1">ROUND(L12,2)</f>
        <v>0</v>
      </c>
    </row>
    <row r="13" spans="1:13" ht="15.48" thickBot="1" customHeight="1">
      <c r="A13" s="33" t="s">
        <v>41</v>
      </c>
      <c r="B13" s="33" t="s">
        <v>42</v>
      </c>
      <c r="C13" s="34"/>
      <c r="D13" s="35" t="s">
        <v>43</v>
      </c>
      <c r="E13" s="35"/>
      <c r="F13" s="35"/>
      <c r="G13" s="35"/>
      <c r="H13" s="35"/>
      <c r="I13" s="35"/>
      <c r="J13" s="35"/>
      <c r="K13" s="34"/>
      <c r="L13" s="36">
        <f ca="1">L26</f>
        <v>0</v>
      </c>
      <c r="M13" s="36">
        <f ca="1">ROUND(L13,2)</f>
        <v>0</v>
      </c>
    </row>
    <row r="14" spans="1:13" ht="30.60" thickBot="1" customHeight="1">
      <c r="A14" s="15" t="s">
        <v>44</v>
      </c>
      <c r="B14" s="8" t="s">
        <v>45</v>
      </c>
      <c r="C14" s="8" t="s">
        <v>46</v>
      </c>
      <c r="D14" s="26" t="s">
        <v>47</v>
      </c>
      <c r="E14" s="26"/>
      <c r="F14" s="26"/>
      <c r="G14" s="26"/>
      <c r="H14" s="26"/>
      <c r="I14" s="26"/>
      <c r="J14" s="26"/>
      <c r="K14" s="27">
        <f ca="1">ROUND(24.00,2)</f>
        <v>0</v>
      </c>
      <c r="L14" s="28">
        <f ca="1">ROUND(7.560*(1+M2/100),2)</f>
        <v>0</v>
      </c>
      <c r="M14" s="28">
        <f ca="1">ROUND(K14*L14,2)</f>
        <v>0</v>
      </c>
    </row>
    <row r="15" spans="1:13" ht="21.36" thickBot="1" customHeight="1">
      <c r="A15" s="15" t="s">
        <v>48</v>
      </c>
      <c r="B15" s="8" t="s">
        <v>49</v>
      </c>
      <c r="C15" s="8" t="s">
        <v>50</v>
      </c>
      <c r="D15" s="26" t="s">
        <v>51</v>
      </c>
      <c r="E15" s="26"/>
      <c r="F15" s="26"/>
      <c r="G15" s="26"/>
      <c r="H15" s="26"/>
      <c r="I15" s="26"/>
      <c r="J15" s="26"/>
      <c r="K15" s="27">
        <f ca="1">ROUND(0.60,2)</f>
        <v>0</v>
      </c>
      <c r="L15" s="28">
        <f ca="1">ROUND(175.710*(1+M2/100),2)</f>
        <v>0</v>
      </c>
      <c r="M15" s="28">
        <f ca="1">ROUND(K15*L15,2)</f>
        <v>0</v>
      </c>
    </row>
    <row r="16" spans="1:13" ht="39.84" thickBot="1" customHeight="1">
      <c r="A16" s="15" t="s">
        <v>52</v>
      </c>
      <c r="B16" s="8" t="s">
        <v>53</v>
      </c>
      <c r="C16" s="8" t="s">
        <v>54</v>
      </c>
      <c r="D16" s="26" t="s">
        <v>55</v>
      </c>
      <c r="E16" s="26"/>
      <c r="F16" s="26"/>
      <c r="G16" s="26"/>
      <c r="H16" s="26"/>
      <c r="I16" s="26"/>
      <c r="J16" s="26"/>
      <c r="K16" s="27">
        <f ca="1">SUM(K18:K20)</f>
        <v>0</v>
      </c>
      <c r="L16" s="28">
        <f ca="1">ROUND(201.290*(1+M2/100),2)</f>
        <v>0</v>
      </c>
      <c r="M16" s="28">
        <f ca="1">ROUND(K16*L16,2)</f>
        <v>0</v>
      </c>
    </row>
    <row r="17" spans="1:13" ht="15.12" thickBot="1" customHeight="1">
      <c r="A17" s="37"/>
      <c r="B17" s="37"/>
      <c r="C17" s="37"/>
      <c r="D17" s="37"/>
      <c r="E17" s="38"/>
      <c r="F17" s="40" t="s">
        <v>56</v>
      </c>
      <c r="G17" s="40" t="s">
        <v>57</v>
      </c>
      <c r="H17" s="40" t="s">
        <v>58</v>
      </c>
      <c r="I17" s="40" t="s">
        <v>59</v>
      </c>
      <c r="J17" s="40" t="s">
        <v>60</v>
      </c>
      <c r="K17" s="40" t="s">
        <v>61</v>
      </c>
      <c r="L17" s="37"/>
      <c r="M17" s="37"/>
    </row>
    <row r="18" spans="1:13" ht="21.36" thickBot="1" customHeight="1">
      <c r="A18" s="37"/>
      <c r="B18" s="37"/>
      <c r="C18" s="37"/>
      <c r="D18" s="41"/>
      <c r="E18" s="42" t="s">
        <v>62</v>
      </c>
      <c r="F18" s="43">
        <v>12.4</v>
      </c>
      <c r="G18" s="44"/>
      <c r="H18" s="44">
        <v>0.500</v>
      </c>
      <c r="I18" s="44"/>
      <c r="J18" s="46">
        <f ca="1">ROUND(F18*H18,3)</f>
        <v>0</v>
      </c>
      <c r="K18" s="47"/>
      <c r="L18" s="37"/>
      <c r="M18" s="37"/>
    </row>
    <row r="19" spans="1:13" ht="15.12" thickBot="1" customHeight="1">
      <c r="A19" s="37"/>
      <c r="B19" s="37"/>
      <c r="C19" s="37"/>
      <c r="D19" s="41"/>
      <c r="E19" s="8" t="s">
        <v>63</v>
      </c>
      <c r="F19" s="6">
        <v>10.5</v>
      </c>
      <c r="G19" s="27"/>
      <c r="H19" s="27">
        <v>0.600</v>
      </c>
      <c r="I19" s="27"/>
      <c r="J19" s="45">
        <f ca="1">ROUND(F19*H19,3)</f>
        <v>0</v>
      </c>
      <c r="K19" s="37"/>
      <c r="L19" s="37"/>
      <c r="M19" s="37"/>
    </row>
    <row r="20" spans="1:13" ht="21.36" thickBot="1" customHeight="1">
      <c r="A20" s="37"/>
      <c r="B20" s="37"/>
      <c r="C20" s="37"/>
      <c r="D20" s="41"/>
      <c r="E20" s="8" t="s">
        <v>64</v>
      </c>
      <c r="F20" s="6">
        <v>16.1</v>
      </c>
      <c r="G20" s="27"/>
      <c r="H20" s="27">
        <v>0.500</v>
      </c>
      <c r="I20" s="27"/>
      <c r="J20" s="45">
        <f ca="1">ROUND(F20*H20,3)</f>
        <v>0</v>
      </c>
      <c r="K20" s="48">
        <f ca="1">SUM(J18:J20)</f>
        <v>0</v>
      </c>
      <c r="L20" s="37"/>
      <c r="M20" s="37"/>
    </row>
    <row r="21" spans="1:13" ht="15.48" thickBot="1" customHeight="1">
      <c r="A21" s="15" t="s">
        <v>65</v>
      </c>
      <c r="B21" s="8" t="s">
        <v>66</v>
      </c>
      <c r="C21" s="8" t="s">
        <v>67</v>
      </c>
      <c r="D21" s="26" t="s">
        <v>68</v>
      </c>
      <c r="E21" s="26"/>
      <c r="F21" s="26"/>
      <c r="G21" s="26"/>
      <c r="H21" s="26"/>
      <c r="I21" s="26"/>
      <c r="J21" s="26"/>
      <c r="K21" s="27">
        <f ca="1">ROUND(3.50,2)</f>
        <v>0</v>
      </c>
      <c r="L21" s="28">
        <f ca="1">ROUND(37.060*(1+M2/100),2)</f>
        <v>0</v>
      </c>
      <c r="M21" s="28">
        <f ca="1">ROUND(K21*L21,2)</f>
        <v>0</v>
      </c>
    </row>
    <row r="22" spans="1:13" ht="58.32" thickBot="1" customHeight="1">
      <c r="A22" s="15" t="s">
        <v>69</v>
      </c>
      <c r="B22" s="8" t="s">
        <v>70</v>
      </c>
      <c r="C22" s="8" t="s">
        <v>71</v>
      </c>
      <c r="D22" s="26" t="s">
        <v>72</v>
      </c>
      <c r="E22" s="26"/>
      <c r="F22" s="26"/>
      <c r="G22" s="26"/>
      <c r="H22" s="26"/>
      <c r="I22" s="26"/>
      <c r="J22" s="26"/>
      <c r="K22" s="27">
        <f ca="1">ROUND(85.00,2)</f>
        <v>0</v>
      </c>
      <c r="L22" s="28">
        <f ca="1">ROUND(116.670*(1+M2/100),2)</f>
        <v>0</v>
      </c>
      <c r="M22" s="28">
        <f ca="1">ROUND(K22*L22,2)</f>
        <v>0</v>
      </c>
    </row>
    <row r="23" spans="1:13" ht="30.60" thickBot="1" customHeight="1">
      <c r="A23" s="15" t="s">
        <v>73</v>
      </c>
      <c r="B23" s="8" t="s">
        <v>74</v>
      </c>
      <c r="C23" s="8" t="s">
        <v>75</v>
      </c>
      <c r="D23" s="26" t="s">
        <v>76</v>
      </c>
      <c r="E23" s="26"/>
      <c r="F23" s="26"/>
      <c r="G23" s="26"/>
      <c r="H23" s="26"/>
      <c r="I23" s="26"/>
      <c r="J23" s="26"/>
      <c r="K23" s="27">
        <f ca="1">ROUND(5.00,2)</f>
        <v>0</v>
      </c>
      <c r="L23" s="28">
        <f ca="1">ROUND(156.730*(1+M2/100),2)</f>
        <v>0</v>
      </c>
      <c r="M23" s="28">
        <f ca="1">ROUND(K23*L23,2)</f>
        <v>0</v>
      </c>
    </row>
    <row r="24" spans="1:13" ht="30.60" thickBot="1" customHeight="1">
      <c r="A24" s="15" t="s">
        <v>77</v>
      </c>
      <c r="B24" s="8" t="s">
        <v>78</v>
      </c>
      <c r="C24" s="8" t="s">
        <v>79</v>
      </c>
      <c r="D24" s="26" t="s">
        <v>80</v>
      </c>
      <c r="E24" s="26"/>
      <c r="F24" s="26"/>
      <c r="G24" s="26"/>
      <c r="H24" s="26"/>
      <c r="I24" s="26"/>
      <c r="J24" s="26"/>
      <c r="K24" s="27">
        <f ca="1">ROUND(100.00,2)</f>
        <v>0</v>
      </c>
      <c r="L24" s="28">
        <f ca="1">ROUND(15.440*(1+M2/100),2)</f>
        <v>0</v>
      </c>
      <c r="M24" s="28">
        <f ca="1">ROUND(K24*L24,2)</f>
        <v>0</v>
      </c>
    </row>
    <row r="25" spans="1:13" ht="21.36" thickBot="1" customHeight="1">
      <c r="A25" s="15" t="s">
        <v>81</v>
      </c>
      <c r="B25" s="8" t="s">
        <v>82</v>
      </c>
      <c r="C25" s="8" t="s">
        <v>83</v>
      </c>
      <c r="D25" s="26" t="s">
        <v>84</v>
      </c>
      <c r="E25" s="26"/>
      <c r="F25" s="26"/>
      <c r="G25" s="26"/>
      <c r="H25" s="26"/>
      <c r="I25" s="26"/>
      <c r="J25" s="26"/>
      <c r="K25" s="27">
        <f ca="1">ROUND(85.00,2)</f>
        <v>0</v>
      </c>
      <c r="L25" s="28">
        <f ca="1">ROUND(15.110*(1+M2/100),2)</f>
        <v>0</v>
      </c>
      <c r="M25" s="28">
        <f ca="1">ROUND(K25*L25,2)</f>
        <v>0</v>
      </c>
    </row>
    <row r="26" spans="1:13" ht="15.48" thickBot="1" customHeight="1">
      <c r="A26" s="29"/>
      <c r="B26" s="29"/>
      <c r="C26" s="29"/>
      <c r="D26" s="30" t="s">
        <v>85</v>
      </c>
      <c r="E26" s="31"/>
      <c r="F26" s="31"/>
      <c r="G26" s="31"/>
      <c r="H26" s="31"/>
      <c r="I26" s="31"/>
      <c r="J26" s="31"/>
      <c r="K26" s="31"/>
      <c r="L26" s="32">
        <f ca="1">M14+M15+M16+M21+M22+M23+M24+M25</f>
        <v>0</v>
      </c>
      <c r="M26" s="32">
        <f ca="1">ROUND(L26,2)</f>
        <v>0</v>
      </c>
    </row>
    <row r="27" spans="1:13" ht="15.48" thickBot="1" customHeight="1">
      <c r="A27" s="33" t="s">
        <v>86</v>
      </c>
      <c r="B27" s="33" t="s">
        <v>87</v>
      </c>
      <c r="C27" s="34"/>
      <c r="D27" s="35" t="s">
        <v>88</v>
      </c>
      <c r="E27" s="35"/>
      <c r="F27" s="35"/>
      <c r="G27" s="35"/>
      <c r="H27" s="35"/>
      <c r="I27" s="35"/>
      <c r="J27" s="35"/>
      <c r="K27" s="34"/>
      <c r="L27" s="36">
        <f ca="1">L53</f>
        <v>0</v>
      </c>
      <c r="M27" s="36">
        <f ca="1">ROUND(L27,2)</f>
        <v>0</v>
      </c>
    </row>
    <row r="28" spans="1:13" ht="30.60" thickBot="1" customHeight="1">
      <c r="A28" s="15" t="s">
        <v>89</v>
      </c>
      <c r="B28" s="8" t="s">
        <v>90</v>
      </c>
      <c r="C28" s="8" t="s">
        <v>91</v>
      </c>
      <c r="D28" s="26" t="s">
        <v>92</v>
      </c>
      <c r="E28" s="26"/>
      <c r="F28" s="26"/>
      <c r="G28" s="26"/>
      <c r="H28" s="26"/>
      <c r="I28" s="26"/>
      <c r="J28" s="26"/>
      <c r="K28" s="27">
        <f ca="1">ROUND(85.00,2)</f>
        <v>0</v>
      </c>
      <c r="L28" s="28">
        <f ca="1">ROUND(29.080*(1+M2/100),2)</f>
        <v>0</v>
      </c>
      <c r="M28" s="28">
        <f ca="1">ROUND(K28*L28,2)</f>
        <v>0</v>
      </c>
    </row>
    <row r="29" spans="1:13" ht="39.84" thickBot="1" customHeight="1">
      <c r="A29" s="15" t="s">
        <v>93</v>
      </c>
      <c r="B29" s="8" t="s">
        <v>94</v>
      </c>
      <c r="C29" s="8" t="s">
        <v>95</v>
      </c>
      <c r="D29" s="26" t="s">
        <v>96</v>
      </c>
      <c r="E29" s="26"/>
      <c r="F29" s="26"/>
      <c r="G29" s="26"/>
      <c r="H29" s="26"/>
      <c r="I29" s="26"/>
      <c r="J29" s="26"/>
      <c r="K29" s="27">
        <f ca="1">ROUND(25.00,2)</f>
        <v>0</v>
      </c>
      <c r="L29" s="28">
        <f ca="1">ROUND(11.280*(1+M2/100),2)</f>
        <v>0</v>
      </c>
      <c r="M29" s="28">
        <f ca="1">ROUND(K29*L29,2)</f>
        <v>0</v>
      </c>
    </row>
    <row r="30" spans="1:13" ht="49.08" thickBot="1" customHeight="1">
      <c r="A30" s="15" t="s">
        <v>97</v>
      </c>
      <c r="B30" s="8" t="s">
        <v>98</v>
      </c>
      <c r="C30" s="8" t="s">
        <v>99</v>
      </c>
      <c r="D30" s="26" t="s">
        <v>100</v>
      </c>
      <c r="E30" s="26"/>
      <c r="F30" s="26"/>
      <c r="G30" s="26"/>
      <c r="H30" s="26"/>
      <c r="I30" s="26"/>
      <c r="J30" s="26"/>
      <c r="K30" s="27">
        <f ca="1">ROUND(25.00,2)</f>
        <v>0</v>
      </c>
      <c r="L30" s="28">
        <f ca="1">ROUND(19.790*(1+M2/100),2)</f>
        <v>0</v>
      </c>
      <c r="M30" s="28">
        <f ca="1">ROUND(K30*L30,2)</f>
        <v>0</v>
      </c>
    </row>
    <row r="31" spans="1:13" ht="15.48" thickBot="1" customHeight="1">
      <c r="A31" s="15" t="s">
        <v>101</v>
      </c>
      <c r="B31" s="8" t="s">
        <v>102</v>
      </c>
      <c r="C31" s="8" t="s">
        <v>103</v>
      </c>
      <c r="D31" s="26" t="s">
        <v>104</v>
      </c>
      <c r="E31" s="26"/>
      <c r="F31" s="26"/>
      <c r="G31" s="26"/>
      <c r="H31" s="26"/>
      <c r="I31" s="26"/>
      <c r="J31" s="26"/>
      <c r="K31" s="27">
        <f ca="1">ROUND(10.00,2)</f>
        <v>0</v>
      </c>
      <c r="L31" s="28">
        <f ca="1">ROUND(14.563*(1+M2/100),2)</f>
        <v>0</v>
      </c>
      <c r="M31" s="28">
        <f ca="1">ROUND(K31*L31,2)</f>
        <v>0</v>
      </c>
    </row>
    <row r="32" spans="1:13" ht="21.36" thickBot="1" customHeight="1">
      <c r="A32" s="15" t="s">
        <v>105</v>
      </c>
      <c r="B32" s="8" t="s">
        <v>106</v>
      </c>
      <c r="C32" s="8" t="s">
        <v>107</v>
      </c>
      <c r="D32" s="26" t="s">
        <v>108</v>
      </c>
      <c r="E32" s="26"/>
      <c r="F32" s="26"/>
      <c r="G32" s="26"/>
      <c r="H32" s="26"/>
      <c r="I32" s="26"/>
      <c r="J32" s="26"/>
      <c r="K32" s="27">
        <f ca="1">ROUND(1.00,2)</f>
        <v>0</v>
      </c>
      <c r="L32" s="28">
        <f ca="1">ROUND(30.260*(1+M2/100),2)</f>
        <v>0</v>
      </c>
      <c r="M32" s="28">
        <f ca="1">ROUND(K32*L32,2)</f>
        <v>0</v>
      </c>
    </row>
    <row r="33" spans="1:13" ht="30.60" thickBot="1" customHeight="1">
      <c r="A33" s="15" t="s">
        <v>109</v>
      </c>
      <c r="B33" s="8" t="s">
        <v>110</v>
      </c>
      <c r="C33" s="8" t="s">
        <v>111</v>
      </c>
      <c r="D33" s="26" t="s">
        <v>112</v>
      </c>
      <c r="E33" s="26"/>
      <c r="F33" s="26"/>
      <c r="G33" s="26"/>
      <c r="H33" s="26"/>
      <c r="I33" s="26"/>
      <c r="J33" s="26"/>
      <c r="K33" s="27">
        <f ca="1">ROUND(10.00,2)</f>
        <v>0</v>
      </c>
      <c r="L33" s="28">
        <f ca="1">ROUND(134.980*(1+M2/100),2)</f>
        <v>0</v>
      </c>
      <c r="M33" s="28">
        <f ca="1">ROUND(K33*L33,2)</f>
        <v>0</v>
      </c>
    </row>
    <row r="34" spans="1:13" ht="30.60" thickBot="1" customHeight="1">
      <c r="A34" s="15" t="s">
        <v>113</v>
      </c>
      <c r="B34" s="8" t="s">
        <v>114</v>
      </c>
      <c r="C34" s="8" t="s">
        <v>115</v>
      </c>
      <c r="D34" s="26" t="s">
        <v>116</v>
      </c>
      <c r="E34" s="26"/>
      <c r="F34" s="26"/>
      <c r="G34" s="26"/>
      <c r="H34" s="26"/>
      <c r="I34" s="26"/>
      <c r="J34" s="26"/>
      <c r="K34" s="27">
        <f ca="1">ROUND(2.00,2)</f>
        <v>0</v>
      </c>
      <c r="L34" s="28">
        <f ca="1">ROUND(303.150*(1+M2/100),2)</f>
        <v>0</v>
      </c>
      <c r="M34" s="28">
        <f ca="1">ROUND(K34*L34,2)</f>
        <v>0</v>
      </c>
    </row>
    <row r="35" spans="1:13" ht="30.60" thickBot="1" customHeight="1">
      <c r="A35" s="15" t="s">
        <v>117</v>
      </c>
      <c r="B35" s="8" t="s">
        <v>118</v>
      </c>
      <c r="C35" s="8" t="s">
        <v>119</v>
      </c>
      <c r="D35" s="26" t="s">
        <v>120</v>
      </c>
      <c r="E35" s="26"/>
      <c r="F35" s="26"/>
      <c r="G35" s="26"/>
      <c r="H35" s="26"/>
      <c r="I35" s="26"/>
      <c r="J35" s="26"/>
      <c r="K35" s="27">
        <f ca="1">SUM(K37:K40)</f>
        <v>0</v>
      </c>
      <c r="L35" s="28">
        <f ca="1">ROUND(33.500*(1+M2/100),2)</f>
        <v>0</v>
      </c>
      <c r="M35" s="28">
        <f ca="1">ROUND(K35*L35,2)</f>
        <v>0</v>
      </c>
    </row>
    <row r="36" spans="1:13" ht="15.12" thickBot="1" customHeight="1">
      <c r="A36" s="37"/>
      <c r="B36" s="37"/>
      <c r="C36" s="37"/>
      <c r="D36" s="37"/>
      <c r="E36" s="38"/>
      <c r="F36" s="40" t="s">
        <v>121</v>
      </c>
      <c r="G36" s="40" t="s">
        <v>122</v>
      </c>
      <c r="H36" s="40" t="s">
        <v>123</v>
      </c>
      <c r="I36" s="40" t="s">
        <v>124</v>
      </c>
      <c r="J36" s="40" t="s">
        <v>125</v>
      </c>
      <c r="K36" s="40" t="s">
        <v>126</v>
      </c>
      <c r="L36" s="37"/>
      <c r="M36" s="37"/>
    </row>
    <row r="37" spans="1:13" ht="21.36" thickBot="1" customHeight="1">
      <c r="A37" s="37"/>
      <c r="B37" s="37"/>
      <c r="C37" s="37"/>
      <c r="D37" s="41"/>
      <c r="E37" s="42" t="s">
        <v>127</v>
      </c>
      <c r="F37" s="43">
        <v>1</v>
      </c>
      <c r="G37" s="44">
        <v>18.000</v>
      </c>
      <c r="H37" s="44"/>
      <c r="I37" s="44">
        <v>3.000</v>
      </c>
      <c r="J37" s="46">
        <f ca="1">ROUND(F37*G37*I37,3)</f>
        <v>0</v>
      </c>
      <c r="K37" s="47"/>
      <c r="L37" s="37"/>
      <c r="M37" s="37"/>
    </row>
    <row r="38" spans="1:13" ht="21.36" thickBot="1" customHeight="1">
      <c r="A38" s="37"/>
      <c r="B38" s="37"/>
      <c r="C38" s="37"/>
      <c r="D38" s="41"/>
      <c r="E38" s="8" t="s">
        <v>128</v>
      </c>
      <c r="F38" s="6">
        <v>1</v>
      </c>
      <c r="G38" s="27">
        <v>17.000</v>
      </c>
      <c r="H38" s="27"/>
      <c r="I38" s="27">
        <v>3.000</v>
      </c>
      <c r="J38" s="45">
        <f ca="1">ROUND(F38*G38*I38,3)</f>
        <v>0</v>
      </c>
      <c r="K38" s="37"/>
      <c r="L38" s="37"/>
      <c r="M38" s="37"/>
    </row>
    <row r="39" spans="1:13" ht="15.12" thickBot="1" customHeight="1">
      <c r="A39" s="37"/>
      <c r="B39" s="37"/>
      <c r="C39" s="37"/>
      <c r="D39" s="41"/>
      <c r="E39" s="8" t="s">
        <v>129</v>
      </c>
      <c r="F39" s="6">
        <v>1</v>
      </c>
      <c r="G39" s="27">
        <v>15.000</v>
      </c>
      <c r="H39" s="27"/>
      <c r="I39" s="27">
        <v>3.000</v>
      </c>
      <c r="J39" s="45">
        <f ca="1">ROUND(F39*G39*I39,3)</f>
        <v>0</v>
      </c>
      <c r="K39" s="37"/>
      <c r="L39" s="37"/>
      <c r="M39" s="37"/>
    </row>
    <row r="40" spans="1:13" ht="15.12" thickBot="1" customHeight="1">
      <c r="A40" s="37"/>
      <c r="B40" s="37"/>
      <c r="C40" s="37"/>
      <c r="D40" s="41"/>
      <c r="E40" s="8"/>
      <c r="F40" s="6"/>
      <c r="G40" s="27"/>
      <c r="H40" s="27"/>
      <c r="I40" s="27"/>
      <c r="J40" s="39" t="s">
        <v>130</v>
      </c>
      <c r="K40" s="48">
        <f ca="1">SUM(J37:J40)</f>
        <v>0</v>
      </c>
      <c r="L40" s="37"/>
      <c r="M40" s="37"/>
    </row>
    <row r="41" spans="1:13" ht="30.60" thickBot="1" customHeight="1">
      <c r="A41" s="15" t="s">
        <v>131</v>
      </c>
      <c r="B41" s="8" t="s">
        <v>132</v>
      </c>
      <c r="C41" s="8" t="s">
        <v>133</v>
      </c>
      <c r="D41" s="26" t="s">
        <v>134</v>
      </c>
      <c r="E41" s="26"/>
      <c r="F41" s="26"/>
      <c r="G41" s="26"/>
      <c r="H41" s="26"/>
      <c r="I41" s="26"/>
      <c r="J41" s="26"/>
      <c r="K41" s="27">
        <f ca="1">SUM(K43:K44)</f>
        <v>0</v>
      </c>
      <c r="L41" s="28">
        <f ca="1">ROUND(50.330*(1+M2/100),2)</f>
        <v>0</v>
      </c>
      <c r="M41" s="28">
        <f ca="1">ROUND(K41*L41,2)</f>
        <v>0</v>
      </c>
    </row>
    <row r="42" spans="1:13" ht="15.12" thickBot="1" customHeight="1">
      <c r="A42" s="37"/>
      <c r="B42" s="37"/>
      <c r="C42" s="37"/>
      <c r="D42" s="37"/>
      <c r="E42" s="38"/>
      <c r="F42" s="40" t="s">
        <v>135</v>
      </c>
      <c r="G42" s="40" t="s">
        <v>136</v>
      </c>
      <c r="H42" s="40" t="s">
        <v>137</v>
      </c>
      <c r="I42" s="40" t="s">
        <v>138</v>
      </c>
      <c r="J42" s="40" t="s">
        <v>139</v>
      </c>
      <c r="K42" s="40" t="s">
        <v>140</v>
      </c>
      <c r="L42" s="37"/>
      <c r="M42" s="37"/>
    </row>
    <row r="43" spans="1:13" ht="15.12" thickBot="1" customHeight="1">
      <c r="A43" s="37"/>
      <c r="B43" s="37"/>
      <c r="C43" s="37"/>
      <c r="D43" s="41"/>
      <c r="E43" s="42" t="s">
        <v>141</v>
      </c>
      <c r="F43" s="43"/>
      <c r="G43" s="44">
        <v>18.000</v>
      </c>
      <c r="H43" s="44"/>
      <c r="I43" s="44"/>
      <c r="J43" s="46">
        <f ca="1">ROUND(G43,3)</f>
        <v>0</v>
      </c>
      <c r="K43" s="47"/>
      <c r="L43" s="37"/>
      <c r="M43" s="37"/>
    </row>
    <row r="44" spans="1:13" ht="15.12" thickBot="1" customHeight="1">
      <c r="A44" s="37"/>
      <c r="B44" s="37"/>
      <c r="C44" s="37"/>
      <c r="D44" s="41"/>
      <c r="E44" s="8" t="s">
        <v>142</v>
      </c>
      <c r="F44" s="6"/>
      <c r="G44" s="27">
        <v>18.000</v>
      </c>
      <c r="H44" s="27"/>
      <c r="I44" s="27"/>
      <c r="J44" s="45">
        <f ca="1">ROUND(G44,3)</f>
        <v>0</v>
      </c>
      <c r="K44" s="48">
        <f ca="1">SUM(J43:J44)</f>
        <v>0</v>
      </c>
      <c r="L44" s="37"/>
      <c r="M44" s="37"/>
    </row>
    <row r="45" spans="1:13" ht="21.36" thickBot="1" customHeight="1">
      <c r="A45" s="15" t="s">
        <v>143</v>
      </c>
      <c r="B45" s="8" t="s">
        <v>144</v>
      </c>
      <c r="C45" s="8" t="s">
        <v>145</v>
      </c>
      <c r="D45" s="26" t="s">
        <v>146</v>
      </c>
      <c r="E45" s="26"/>
      <c r="F45" s="26"/>
      <c r="G45" s="26"/>
      <c r="H45" s="26"/>
      <c r="I45" s="26"/>
      <c r="J45" s="26"/>
      <c r="K45" s="27">
        <f ca="1">ROUND(2460.00,2)</f>
        <v>0</v>
      </c>
      <c r="L45" s="28">
        <f ca="1">ROUND(2.913*(1+M2/100),2)</f>
        <v>0</v>
      </c>
      <c r="M45" s="28">
        <f ca="1">ROUND(K45*L45,2)</f>
        <v>0</v>
      </c>
    </row>
    <row r="46" spans="1:13" ht="21.36" thickBot="1" customHeight="1">
      <c r="A46" s="15" t="s">
        <v>147</v>
      </c>
      <c r="B46" s="8" t="s">
        <v>148</v>
      </c>
      <c r="C46" s="8" t="s">
        <v>149</v>
      </c>
      <c r="D46" s="26" t="s">
        <v>150</v>
      </c>
      <c r="E46" s="26"/>
      <c r="F46" s="26"/>
      <c r="G46" s="26"/>
      <c r="H46" s="26"/>
      <c r="I46" s="26"/>
      <c r="J46" s="26"/>
      <c r="K46" s="27">
        <f ca="1">ROUND(226.00,2)</f>
        <v>0</v>
      </c>
      <c r="L46" s="28">
        <f ca="1">ROUND(4.369*(1+M2/100),2)</f>
        <v>0</v>
      </c>
      <c r="M46" s="28">
        <f ca="1">ROUND(K46*L46,2)</f>
        <v>0</v>
      </c>
    </row>
    <row r="47" spans="1:13" ht="21.36" thickBot="1" customHeight="1">
      <c r="A47" s="15" t="s">
        <v>151</v>
      </c>
      <c r="B47" s="8" t="s">
        <v>152</v>
      </c>
      <c r="C47" s="8" t="s">
        <v>153</v>
      </c>
      <c r="D47" s="26" t="s">
        <v>154</v>
      </c>
      <c r="E47" s="26"/>
      <c r="F47" s="26"/>
      <c r="G47" s="26"/>
      <c r="H47" s="26"/>
      <c r="I47" s="26"/>
      <c r="J47" s="26"/>
      <c r="K47" s="27">
        <f ca="1">ROUND(80.00,2)</f>
        <v>0</v>
      </c>
      <c r="L47" s="28">
        <f ca="1">ROUND(21.359*(1+M2/100),2)</f>
        <v>0</v>
      </c>
      <c r="M47" s="28">
        <f ca="1">ROUND(K47*L47,2)</f>
        <v>0</v>
      </c>
    </row>
    <row r="48" spans="1:13" ht="15.48" thickBot="1" customHeight="1">
      <c r="A48" s="15" t="s">
        <v>155</v>
      </c>
      <c r="B48" s="8" t="s">
        <v>156</v>
      </c>
      <c r="C48" s="8" t="s">
        <v>157</v>
      </c>
      <c r="D48" s="26" t="s">
        <v>158</v>
      </c>
      <c r="E48" s="26"/>
      <c r="F48" s="26"/>
      <c r="G48" s="26"/>
      <c r="H48" s="26"/>
      <c r="I48" s="26"/>
      <c r="J48" s="26"/>
      <c r="K48" s="27">
        <f ca="1">ROUND(6.00,2)</f>
        <v>0</v>
      </c>
      <c r="L48" s="28">
        <f ca="1">ROUND(116.505*(1+M2/100),2)</f>
        <v>0</v>
      </c>
      <c r="M48" s="28">
        <f ca="1">ROUND(K48*L48,2)</f>
        <v>0</v>
      </c>
    </row>
    <row r="49" spans="1:13" ht="15.48" thickBot="1" customHeight="1">
      <c r="A49" s="15" t="s">
        <v>159</v>
      </c>
      <c r="B49" s="8" t="s">
        <v>160</v>
      </c>
      <c r="C49" s="8" t="s">
        <v>161</v>
      </c>
      <c r="D49" s="26" t="s">
        <v>162</v>
      </c>
      <c r="E49" s="26"/>
      <c r="F49" s="26"/>
      <c r="G49" s="26"/>
      <c r="H49" s="26"/>
      <c r="I49" s="26"/>
      <c r="J49" s="26"/>
      <c r="K49" s="27">
        <f ca="1">ROUND(1.00,2)</f>
        <v>0</v>
      </c>
      <c r="L49" s="28">
        <f ca="1">ROUND(194.175*(1+M2/100),2)</f>
        <v>0</v>
      </c>
      <c r="M49" s="28">
        <f ca="1">ROUND(K49*L49,2)</f>
        <v>0</v>
      </c>
    </row>
    <row r="50" spans="1:13" ht="15.48" thickBot="1" customHeight="1">
      <c r="A50" s="15" t="s">
        <v>163</v>
      </c>
      <c r="B50" s="8" t="s">
        <v>164</v>
      </c>
      <c r="C50" s="8" t="s">
        <v>165</v>
      </c>
      <c r="D50" s="26" t="s">
        <v>166</v>
      </c>
      <c r="E50" s="26"/>
      <c r="F50" s="26"/>
      <c r="G50" s="26"/>
      <c r="H50" s="26"/>
      <c r="I50" s="26"/>
      <c r="J50" s="26"/>
      <c r="K50" s="27">
        <f ca="1">ROUND(50.00,2)</f>
        <v>0</v>
      </c>
      <c r="L50" s="28">
        <f ca="1">ROUND(4.369*(1+M2/100),2)</f>
        <v>0</v>
      </c>
      <c r="M50" s="28">
        <f ca="1">ROUND(K50*L50,2)</f>
        <v>0</v>
      </c>
    </row>
    <row r="51" spans="1:13" ht="21.36" thickBot="1" customHeight="1">
      <c r="A51" s="15" t="s">
        <v>167</v>
      </c>
      <c r="B51" s="8" t="s">
        <v>168</v>
      </c>
      <c r="C51" s="8" t="s">
        <v>169</v>
      </c>
      <c r="D51" s="26" t="s">
        <v>170</v>
      </c>
      <c r="E51" s="26"/>
      <c r="F51" s="26"/>
      <c r="G51" s="26"/>
      <c r="H51" s="26"/>
      <c r="I51" s="26"/>
      <c r="J51" s="26"/>
      <c r="K51" s="27">
        <f ca="1">ROUND(1.00,2)</f>
        <v>0</v>
      </c>
      <c r="L51" s="28">
        <f ca="1">ROUND(1456.311*(1+M2/100),2)</f>
        <v>0</v>
      </c>
      <c r="M51" s="28">
        <f ca="1">ROUND(K51*L51,2)</f>
        <v>0</v>
      </c>
    </row>
    <row r="52" spans="1:13" ht="15.48" thickBot="1" customHeight="1">
      <c r="A52" s="15" t="s">
        <v>171</v>
      </c>
      <c r="B52" s="8" t="s">
        <v>172</v>
      </c>
      <c r="C52" s="8" t="s">
        <v>173</v>
      </c>
      <c r="D52" s="26" t="s">
        <v>174</v>
      </c>
      <c r="E52" s="26"/>
      <c r="F52" s="26"/>
      <c r="G52" s="26"/>
      <c r="H52" s="26"/>
      <c r="I52" s="26"/>
      <c r="J52" s="26"/>
      <c r="K52" s="27">
        <f ca="1">ROUND(1.00,2)</f>
        <v>0</v>
      </c>
      <c r="L52" s="28">
        <f ca="1">ROUND(388.350*(1+M2/100),2)</f>
        <v>0</v>
      </c>
      <c r="M52" s="28">
        <f ca="1">ROUND(K52*L52,2)</f>
        <v>0</v>
      </c>
    </row>
    <row r="53" spans="1:13" ht="15.48" thickBot="1" customHeight="1">
      <c r="A53" s="29"/>
      <c r="B53" s="29"/>
      <c r="C53" s="29"/>
      <c r="D53" s="30" t="s">
        <v>175</v>
      </c>
      <c r="E53" s="31"/>
      <c r="F53" s="31"/>
      <c r="G53" s="31"/>
      <c r="H53" s="31"/>
      <c r="I53" s="31"/>
      <c r="J53" s="31"/>
      <c r="K53" s="31"/>
      <c r="L53" s="32">
        <f ca="1">M28+M29+M30+M31+M32+M33+M34+M35+M41+M45+M46+M47+M48+M49+M50+M51+M52</f>
        <v>0</v>
      </c>
      <c r="M53" s="32">
        <f ca="1">ROUND(L53,2)</f>
        <v>0</v>
      </c>
    </row>
    <row r="54" spans="1:13" ht="15.48" thickBot="1" customHeight="1">
      <c r="A54" s="33" t="s">
        <v>176</v>
      </c>
      <c r="B54" s="33" t="s">
        <v>177</v>
      </c>
      <c r="C54" s="34"/>
      <c r="D54" s="35" t="s">
        <v>178</v>
      </c>
      <c r="E54" s="35"/>
      <c r="F54" s="35"/>
      <c r="G54" s="35"/>
      <c r="H54" s="35"/>
      <c r="I54" s="35"/>
      <c r="J54" s="35"/>
      <c r="K54" s="34"/>
      <c r="L54" s="36">
        <f ca="1">L62</f>
        <v>0</v>
      </c>
      <c r="M54" s="36">
        <f ca="1">ROUND(L54,2)</f>
        <v>0</v>
      </c>
    </row>
    <row r="55" spans="1:13" ht="21.36" thickBot="1" customHeight="1">
      <c r="A55" s="15" t="s">
        <v>179</v>
      </c>
      <c r="B55" s="8" t="s">
        <v>180</v>
      </c>
      <c r="C55" s="8" t="s">
        <v>181</v>
      </c>
      <c r="D55" s="26" t="s">
        <v>182</v>
      </c>
      <c r="E55" s="26"/>
      <c r="F55" s="26"/>
      <c r="G55" s="26"/>
      <c r="H55" s="26"/>
      <c r="I55" s="26"/>
      <c r="J55" s="26"/>
      <c r="K55" s="27">
        <f ca="1">SUM(K57:K61)</f>
        <v>0</v>
      </c>
      <c r="L55" s="28">
        <f ca="1">ROUND(32.940*(1+M2/100),2)</f>
        <v>0</v>
      </c>
      <c r="M55" s="28">
        <f ca="1">ROUND(K55*L55,2)</f>
        <v>0</v>
      </c>
    </row>
    <row r="56" spans="1:13" ht="15.12" thickBot="1" customHeight="1">
      <c r="A56" s="37"/>
      <c r="B56" s="37"/>
      <c r="C56" s="37"/>
      <c r="D56" s="37"/>
      <c r="E56" s="38"/>
      <c r="F56" s="40" t="s">
        <v>183</v>
      </c>
      <c r="G56" s="40" t="s">
        <v>184</v>
      </c>
      <c r="H56" s="40" t="s">
        <v>185</v>
      </c>
      <c r="I56" s="40" t="s">
        <v>186</v>
      </c>
      <c r="J56" s="40" t="s">
        <v>187</v>
      </c>
      <c r="K56" s="40" t="s">
        <v>188</v>
      </c>
      <c r="L56" s="37"/>
      <c r="M56" s="37"/>
    </row>
    <row r="57" spans="1:13" ht="21.36" thickBot="1" customHeight="1">
      <c r="A57" s="37"/>
      <c r="B57" s="37"/>
      <c r="C57" s="37"/>
      <c r="D57" s="41"/>
      <c r="E57" s="42" t="s">
        <v>189</v>
      </c>
      <c r="F57" s="43">
        <v>1</v>
      </c>
      <c r="G57" s="44">
        <v>5.000</v>
      </c>
      <c r="H57" s="44">
        <v>0.500</v>
      </c>
      <c r="I57" s="44"/>
      <c r="J57" s="46">
        <f ca="1">ROUND(F57*G57*H57,3)</f>
        <v>0</v>
      </c>
      <c r="K57" s="47"/>
      <c r="L57" s="37"/>
      <c r="M57" s="37"/>
    </row>
    <row r="58" spans="1:13" ht="21.36" thickBot="1" customHeight="1">
      <c r="A58" s="37"/>
      <c r="B58" s="37"/>
      <c r="C58" s="37"/>
      <c r="D58" s="41"/>
      <c r="E58" s="8" t="s">
        <v>190</v>
      </c>
      <c r="F58" s="6">
        <v>1</v>
      </c>
      <c r="G58" s="27">
        <v>5.000</v>
      </c>
      <c r="H58" s="27">
        <v>0.500</v>
      </c>
      <c r="I58" s="27"/>
      <c r="J58" s="45">
        <f ca="1">ROUND(F58*G58*H58,3)</f>
        <v>0</v>
      </c>
      <c r="K58" s="37"/>
      <c r="L58" s="37"/>
      <c r="M58" s="37"/>
    </row>
    <row r="59" spans="1:13" ht="15.12" thickBot="1" customHeight="1">
      <c r="A59" s="37"/>
      <c r="B59" s="37"/>
      <c r="C59" s="37"/>
      <c r="D59" s="41"/>
      <c r="E59" s="8" t="s">
        <v>191</v>
      </c>
      <c r="F59" s="6">
        <v>1</v>
      </c>
      <c r="G59" s="27">
        <v>18.000</v>
      </c>
      <c r="H59" s="27">
        <v>0.500</v>
      </c>
      <c r="I59" s="27"/>
      <c r="J59" s="45">
        <f ca="1">ROUND(F59*G59*H59,3)</f>
        <v>0</v>
      </c>
      <c r="K59" s="37"/>
      <c r="L59" s="37"/>
      <c r="M59" s="37"/>
    </row>
    <row r="60" spans="1:13" ht="15.12" thickBot="1" customHeight="1">
      <c r="A60" s="37"/>
      <c r="B60" s="37"/>
      <c r="C60" s="37"/>
      <c r="D60" s="41"/>
      <c r="E60" s="8" t="s">
        <v>192</v>
      </c>
      <c r="F60" s="6">
        <v>1</v>
      </c>
      <c r="G60" s="27">
        <v>17.000</v>
      </c>
      <c r="H60" s="27">
        <v>0.500</v>
      </c>
      <c r="I60" s="27"/>
      <c r="J60" s="45">
        <f ca="1">ROUND(F60*G60*H60,3)</f>
        <v>0</v>
      </c>
      <c r="K60" s="37"/>
      <c r="L60" s="37"/>
      <c r="M60" s="37"/>
    </row>
    <row r="61" spans="1:13" ht="15.12" thickBot="1" customHeight="1">
      <c r="A61" s="37"/>
      <c r="B61" s="37"/>
      <c r="C61" s="37"/>
      <c r="D61" s="41"/>
      <c r="E61" s="8" t="s">
        <v>193</v>
      </c>
      <c r="F61" s="6">
        <v>1</v>
      </c>
      <c r="G61" s="27">
        <v>15.000</v>
      </c>
      <c r="H61" s="27">
        <v>0.300</v>
      </c>
      <c r="I61" s="27"/>
      <c r="J61" s="45">
        <f ca="1">ROUND(F61*G61*H61,3)</f>
        <v>0</v>
      </c>
      <c r="K61" s="48">
        <f ca="1">SUM(J57:J61)</f>
        <v>0</v>
      </c>
      <c r="L61" s="37"/>
      <c r="M61" s="37"/>
    </row>
    <row r="62" spans="1:13" ht="15.48" thickBot="1" customHeight="1">
      <c r="A62" s="29"/>
      <c r="B62" s="29"/>
      <c r="C62" s="29"/>
      <c r="D62" s="30" t="s">
        <v>194</v>
      </c>
      <c r="E62" s="31"/>
      <c r="F62" s="31"/>
      <c r="G62" s="31"/>
      <c r="H62" s="31"/>
      <c r="I62" s="31"/>
      <c r="J62" s="31"/>
      <c r="K62" s="31"/>
      <c r="L62" s="32">
        <f ca="1">M55</f>
        <v>0</v>
      </c>
      <c r="M62" s="32">
        <f ca="1">ROUND(L62,2)</f>
        <v>0</v>
      </c>
    </row>
    <row r="63" spans="1:13" ht="15.48" thickBot="1" customHeight="1">
      <c r="A63" s="33" t="s">
        <v>195</v>
      </c>
      <c r="B63" s="33" t="s">
        <v>196</v>
      </c>
      <c r="C63" s="34"/>
      <c r="D63" s="35" t="s">
        <v>197</v>
      </c>
      <c r="E63" s="35"/>
      <c r="F63" s="35"/>
      <c r="G63" s="35"/>
      <c r="H63" s="35"/>
      <c r="I63" s="35"/>
      <c r="J63" s="35"/>
      <c r="K63" s="34"/>
      <c r="L63" s="36">
        <f ca="1">L68</f>
        <v>0</v>
      </c>
      <c r="M63" s="36">
        <f ca="1">ROUND(L63,2)</f>
        <v>0</v>
      </c>
    </row>
    <row r="64" spans="1:13" ht="30.60" thickBot="1" customHeight="1">
      <c r="A64" s="15" t="s">
        <v>198</v>
      </c>
      <c r="B64" s="8" t="s">
        <v>199</v>
      </c>
      <c r="C64" s="8" t="s">
        <v>200</v>
      </c>
      <c r="D64" s="26" t="s">
        <v>201</v>
      </c>
      <c r="E64" s="26"/>
      <c r="F64" s="26"/>
      <c r="G64" s="26"/>
      <c r="H64" s="26"/>
      <c r="I64" s="26"/>
      <c r="J64" s="26"/>
      <c r="K64" s="27">
        <f ca="1">ROUND(65.00,2)</f>
        <v>0</v>
      </c>
      <c r="L64" s="28">
        <f ca="1">ROUND(32.039*(1+M2/100),2)</f>
        <v>0</v>
      </c>
      <c r="M64" s="28">
        <f ca="1">ROUND(K64*L64,2)</f>
        <v>0</v>
      </c>
    </row>
    <row r="65" spans="1:13" ht="30.60" thickBot="1" customHeight="1">
      <c r="A65" s="15" t="s">
        <v>202</v>
      </c>
      <c r="B65" s="8" t="s">
        <v>203</v>
      </c>
      <c r="C65" s="8" t="s">
        <v>204</v>
      </c>
      <c r="D65" s="26" t="s">
        <v>205</v>
      </c>
      <c r="E65" s="26"/>
      <c r="F65" s="26"/>
      <c r="G65" s="26"/>
      <c r="H65" s="26"/>
      <c r="I65" s="26"/>
      <c r="J65" s="26"/>
      <c r="K65" s="27">
        <f ca="1">ROUND(30.00,2)</f>
        <v>0</v>
      </c>
      <c r="L65" s="28">
        <f ca="1">ROUND(23.460*(1+M2/100),2)</f>
        <v>0</v>
      </c>
      <c r="M65" s="28">
        <f ca="1">ROUND(K65*L65,2)</f>
        <v>0</v>
      </c>
    </row>
    <row r="66" spans="1:13" ht="30.60" thickBot="1" customHeight="1">
      <c r="A66" s="15" t="s">
        <v>206</v>
      </c>
      <c r="B66" s="8" t="s">
        <v>207</v>
      </c>
      <c r="C66" s="8" t="s">
        <v>208</v>
      </c>
      <c r="D66" s="26" t="s">
        <v>209</v>
      </c>
      <c r="E66" s="26"/>
      <c r="F66" s="26"/>
      <c r="G66" s="26"/>
      <c r="H66" s="26"/>
      <c r="I66" s="26"/>
      <c r="J66" s="26"/>
      <c r="K66" s="27">
        <f ca="1">ROUND(65.00,2)</f>
        <v>0</v>
      </c>
      <c r="L66" s="28">
        <f ca="1">ROUND(18.490*(1+M2/100),2)</f>
        <v>0</v>
      </c>
      <c r="M66" s="28">
        <f ca="1">ROUND(K66*L66,2)</f>
        <v>0</v>
      </c>
    </row>
    <row r="67" spans="1:13" ht="21.36" thickBot="1" customHeight="1">
      <c r="A67" s="15" t="s">
        <v>210</v>
      </c>
      <c r="B67" s="8" t="s">
        <v>211</v>
      </c>
      <c r="C67" s="8" t="s">
        <v>212</v>
      </c>
      <c r="D67" s="26" t="s">
        <v>213</v>
      </c>
      <c r="E67" s="26"/>
      <c r="F67" s="26"/>
      <c r="G67" s="26"/>
      <c r="H67" s="26"/>
      <c r="I67" s="26"/>
      <c r="J67" s="26"/>
      <c r="K67" s="27">
        <f ca="1">ROUND(30.00,2)</f>
        <v>0</v>
      </c>
      <c r="L67" s="28">
        <f ca="1">ROUND(2.410*(1+M2/100),2)</f>
        <v>0</v>
      </c>
      <c r="M67" s="28">
        <f ca="1">ROUND(K67*L67,2)</f>
        <v>0</v>
      </c>
    </row>
    <row r="68" spans="1:13" ht="15.48" thickBot="1" customHeight="1">
      <c r="A68" s="29"/>
      <c r="B68" s="29"/>
      <c r="C68" s="29"/>
      <c r="D68" s="30" t="s">
        <v>214</v>
      </c>
      <c r="E68" s="31"/>
      <c r="F68" s="31"/>
      <c r="G68" s="31"/>
      <c r="H68" s="31"/>
      <c r="I68" s="31"/>
      <c r="J68" s="31"/>
      <c r="K68" s="31"/>
      <c r="L68" s="32">
        <f ca="1">M64+M65+M66+M67</f>
        <v>0</v>
      </c>
      <c r="M68" s="32">
        <f ca="1">ROUND(L68,2)</f>
        <v>0</v>
      </c>
    </row>
    <row r="69" spans="1:13" ht="15.48" thickBot="1" customHeight="1">
      <c r="A69" s="33" t="s">
        <v>215</v>
      </c>
      <c r="B69" s="33" t="s">
        <v>216</v>
      </c>
      <c r="C69" s="34"/>
      <c r="D69" s="35" t="s">
        <v>217</v>
      </c>
      <c r="E69" s="35"/>
      <c r="F69" s="35"/>
      <c r="G69" s="35"/>
      <c r="H69" s="35"/>
      <c r="I69" s="35"/>
      <c r="J69" s="35"/>
      <c r="K69" s="34"/>
      <c r="L69" s="36">
        <f ca="1">L71</f>
        <v>0</v>
      </c>
      <c r="M69" s="36">
        <f ca="1">ROUND(L69,2)</f>
        <v>0</v>
      </c>
    </row>
    <row r="70" spans="1:13" ht="15.48" thickBot="1" customHeight="1">
      <c r="A70" s="15" t="s">
        <v>218</v>
      </c>
      <c r="B70" s="8" t="s">
        <v>219</v>
      </c>
      <c r="C70" s="8" t="s">
        <v>220</v>
      </c>
      <c r="D70" s="26" t="s">
        <v>221</v>
      </c>
      <c r="E70" s="26"/>
      <c r="F70" s="26"/>
      <c r="G70" s="26"/>
      <c r="H70" s="26"/>
      <c r="I70" s="26"/>
      <c r="J70" s="26"/>
      <c r="K70" s="27">
        <f ca="1">ROUND(1.00,2)</f>
        <v>0</v>
      </c>
      <c r="L70" s="28">
        <f ca="1">ROUND(873.786*(1+M2/100),2)</f>
        <v>0</v>
      </c>
      <c r="M70" s="28">
        <f ca="1">ROUND(K70*L70,2)</f>
        <v>0</v>
      </c>
    </row>
    <row r="71" spans="1:13" ht="15.48" thickBot="1" customHeight="1">
      <c r="A71" s="29"/>
      <c r="B71" s="29"/>
      <c r="C71" s="29"/>
      <c r="D71" s="30" t="s">
        <v>222</v>
      </c>
      <c r="E71" s="31"/>
      <c r="F71" s="31"/>
      <c r="G71" s="31"/>
      <c r="H71" s="31"/>
      <c r="I71" s="31"/>
      <c r="J71" s="31"/>
      <c r="K71" s="31"/>
      <c r="L71" s="32">
        <f ca="1">M70</f>
        <v>0</v>
      </c>
      <c r="M71" s="32">
        <f ca="1">ROUND(L71,2)</f>
        <v>0</v>
      </c>
    </row>
    <row r="72" spans="1:13" ht="15.48" thickBot="1" customHeight="1">
      <c r="A72" s="33" t="s">
        <v>223</v>
      </c>
      <c r="B72" s="33" t="s">
        <v>224</v>
      </c>
      <c r="C72" s="34"/>
      <c r="D72" s="35" t="s">
        <v>225</v>
      </c>
      <c r="E72" s="35"/>
      <c r="F72" s="35"/>
      <c r="G72" s="35"/>
      <c r="H72" s="35"/>
      <c r="I72" s="35"/>
      <c r="J72" s="35"/>
      <c r="K72" s="34"/>
      <c r="L72" s="36">
        <f ca="1">L74</f>
        <v>0</v>
      </c>
      <c r="M72" s="36">
        <f ca="1">ROUND(L72,2)</f>
        <v>0</v>
      </c>
    </row>
    <row r="73" spans="1:13" ht="15.48" thickBot="1" customHeight="1">
      <c r="A73" s="15" t="s">
        <v>226</v>
      </c>
      <c r="B73" s="8" t="s">
        <v>227</v>
      </c>
      <c r="C73" s="8" t="s">
        <v>228</v>
      </c>
      <c r="D73" s="26" t="s">
        <v>229</v>
      </c>
      <c r="E73" s="26"/>
      <c r="F73" s="26"/>
      <c r="G73" s="26"/>
      <c r="H73" s="26"/>
      <c r="I73" s="26"/>
      <c r="J73" s="26"/>
      <c r="K73" s="27">
        <f ca="1">ROUND(1.00,2)</f>
        <v>0</v>
      </c>
      <c r="L73" s="28">
        <f ca="1">ROUND(1500.000*(1+M2/100),2)</f>
        <v>0</v>
      </c>
      <c r="M73" s="28">
        <f ca="1">ROUND(K73*L73,2)</f>
        <v>0</v>
      </c>
    </row>
    <row r="74" spans="1:13" ht="15.48" thickBot="1" customHeight="1">
      <c r="A74" s="29"/>
      <c r="B74" s="29"/>
      <c r="C74" s="29"/>
      <c r="D74" s="30" t="s">
        <v>230</v>
      </c>
      <c r="E74" s="31"/>
      <c r="F74" s="31"/>
      <c r="G74" s="31"/>
      <c r="H74" s="31"/>
      <c r="I74" s="31"/>
      <c r="J74" s="31"/>
      <c r="K74" s="31"/>
      <c r="L74" s="32">
        <f ca="1">M73</f>
        <v>0</v>
      </c>
      <c r="M74" s="32">
        <f ca="1">ROUND(L74,2)</f>
        <v>0</v>
      </c>
    </row>
    <row r="75" spans="1:13" ht="25.08" thickBot="1" customHeight="1">
      <c r="A75" s="49"/>
      <c r="B75" s="49"/>
      <c r="C75" s="49"/>
      <c r="D75" s="50" t="s">
        <v>231</v>
      </c>
      <c r="E75" s="51"/>
      <c r="F75" s="51"/>
      <c r="G75" s="51"/>
      <c r="H75" s="51"/>
      <c r="I75" s="51"/>
      <c r="J75" s="51"/>
      <c r="K75" s="51"/>
      <c r="L75" s="52">
        <f ca="1">M12+M26+M53+M62+M68+M71+M74</f>
        <v>0</v>
      </c>
      <c r="M75" s="52">
        <f ca="1">ROUND(L75,2)</f>
        <v>0</v>
      </c>
    </row>
  </sheetData>
  <mergeCells count="48">
    <mergeCell ref="B1:M1"/>
    <mergeCell ref="A2:C2"/>
    <mergeCell ref="D4:J4"/>
    <mergeCell ref="D5:J5"/>
    <mergeCell ref="D6:J6"/>
    <mergeCell ref="D7:J7"/>
    <mergeCell ref="D8:J8"/>
    <mergeCell ref="D9:J9"/>
    <mergeCell ref="D10:J10"/>
    <mergeCell ref="D11:J11"/>
    <mergeCell ref="D13:J13"/>
    <mergeCell ref="D14:J14"/>
    <mergeCell ref="D15:J15"/>
    <mergeCell ref="D16:J16"/>
    <mergeCell ref="D21:J21"/>
    <mergeCell ref="D22:J22"/>
    <mergeCell ref="D23:J23"/>
    <mergeCell ref="D24:J24"/>
    <mergeCell ref="D25:J25"/>
    <mergeCell ref="D27:J27"/>
    <mergeCell ref="D28:J28"/>
    <mergeCell ref="D29:J29"/>
    <mergeCell ref="D30:J30"/>
    <mergeCell ref="D31:J31"/>
    <mergeCell ref="D32:J32"/>
    <mergeCell ref="D33:J33"/>
    <mergeCell ref="D34:J34"/>
    <mergeCell ref="D35:J35"/>
    <mergeCell ref="D41:J41"/>
    <mergeCell ref="D45:J45"/>
    <mergeCell ref="D46:J46"/>
    <mergeCell ref="D47:J47"/>
    <mergeCell ref="D48:J48"/>
    <mergeCell ref="D49:J49"/>
    <mergeCell ref="D50:J50"/>
    <mergeCell ref="D51:J51"/>
    <mergeCell ref="D52:J52"/>
    <mergeCell ref="D54:J54"/>
    <mergeCell ref="D55:J55"/>
    <mergeCell ref="D63:J63"/>
    <mergeCell ref="D64:J64"/>
    <mergeCell ref="D65:J65"/>
    <mergeCell ref="D66:J66"/>
    <mergeCell ref="D67:J67"/>
    <mergeCell ref="D69:J69"/>
    <mergeCell ref="D70:J70"/>
    <mergeCell ref="D72:J72"/>
    <mergeCell ref="D73:J73"/>
  </mergeCells>
  <pageMargins left="0.620079" right="0.472441" top="0.472441" bottom="0.472441" header="0.0" footer="0.0"/>
  <pageSetup paperSize="9" orientation="landscape"/>
  <rowBreaks count="2" manualBreakCount="2">
    <brk id="0" max="16383" man="1"/>
    <brk id="0" max="16383" man="1"/>
  </rowBreaks>
</worksheet>
</file>