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drawings/vmlDrawing1.vml" ContentType="application/vnd.openxmlformats-officedocument.vmlDrawing"/>
  <Override PartName="/xl/workbook.xml" ContentType="application/vnd.openxmlformats-officedocument.spreadsheetml.sheet.main+xml"/>
  <Override PartName="/xl/theme/theme1.xml" ContentType="application/vnd.openxmlformats-officedocument.theme+xml"/>
  <Override PartName="/xl/externalLinks/_rels/externalLink1.xml.rels" ContentType="application/vnd.openxmlformats-package.relationships+xml"/>
  <Override PartName="/xl/comments1.xml" ContentType="application/vnd.openxmlformats-officedocument.spreadsheetml.comments+xml"/>
  <Override PartName="/_rels/.rels" ContentType="application/vnd.openxmlformats-package.relationship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worksheets/sheet7.xml" ContentType="application/vnd.openxmlformats-officedocument.spreadsheetml.worksheet+xml"/>
  <Override PartName="/xl/worksheets/sheet6.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xl/_rels/workbook.xml.rels" ContentType="application/vnd.openxmlformats-package.relationship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BASEdades" sheetId="1" state="visible" r:id="rId3"/>
    <sheet name="PORTADA_PTO" sheetId="2" state="visible" r:id="rId4"/>
    <sheet name="PATI" sheetId="3" state="visible" r:id="rId5"/>
    <sheet name="UMBRACLE" sheetId="4" state="visible" r:id="rId6"/>
    <sheet name="ACCÉS" sheetId="5" state="visible" r:id="rId7"/>
    <sheet name="QUADRE PREUS 1" sheetId="6" state="visible" r:id="rId8"/>
    <sheet name="QUADRE PREUS 2" sheetId="7" state="visible" r:id="rId9"/>
    <sheet name="PREUS" sheetId="8" state="visible" r:id="rId10"/>
    <sheet name="RESUM PARTIDES" sheetId="9" state="visible" r:id="rId11"/>
  </sheets>
  <externalReferences>
    <externalReference r:id="rId12"/>
  </externalReferences>
  <definedNames>
    <definedName function="false" hidden="false" localSheetId="4" name="_xlnm.Print_Area" vbProcedure="false">ACCÉS!$B$1:$I$147</definedName>
    <definedName function="false" hidden="false" localSheetId="2" name="_xlnm.Print_Area" vbProcedure="false">PATI!$B$1:$I$344</definedName>
    <definedName function="false" hidden="false" localSheetId="7" name="_xlnm.Print_Area" vbProcedure="false">PREUS!$B$1:$E$120</definedName>
    <definedName function="false" hidden="false" localSheetId="5" name="_xlnm.Print_Area" vbProcedure="false">'QUADRE PREUS 1'!$B$1:$I$691</definedName>
    <definedName function="false" hidden="false" localSheetId="6" name="_xlnm.Print_Area" vbProcedure="false">'QUADRE PREUS 2'!$B$1:$I$691</definedName>
    <definedName function="false" hidden="false" localSheetId="8" name="_xlnm.Print_Area" vbProcedure="false">'RESUM PARTIDES'!$B$1:$I$45</definedName>
    <definedName function="false" hidden="false" localSheetId="3" name="_xlnm.Print_Area" vbProcedure="false">UMBRACLE!$B$1:$I$35</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HP</author>
  </authors>
  <commentList>
    <comment ref="B242" authorId="0">
      <text>
        <r>
          <rPr>
            <sz val="10"/>
            <rFont val="Arial"/>
            <family val="2"/>
          </rPr>
          <t xml:space="preserve">HP:
</t>
        </r>
        <r>
          <rPr>
            <sz val="9"/>
            <color rgb="FF000000"/>
            <rFont val="Tahoma"/>
            <family val="2"/>
            <charset val="1"/>
          </rPr>
          <t xml:space="preserve">preu/m2</t>
        </r>
      </text>
    </comment>
  </commentList>
</comments>
</file>

<file path=xl/sharedStrings.xml><?xml version="1.0" encoding="utf-8"?>
<sst xmlns="http://schemas.openxmlformats.org/spreadsheetml/2006/main" count="3009" uniqueCount="1168">
  <si>
    <t xml:space="preserve">FEINES PRÈVIES -DEMOLICIONS -PALETERIA</t>
  </si>
  <si>
    <t xml:space="preserve">CODI  BASE DADES</t>
  </si>
  <si>
    <t xml:space="preserve">TÍTOL PARTIDA</t>
  </si>
  <si>
    <t xml:space="preserve">UT</t>
  </si>
  <si>
    <t xml:space="preserve">DESCRIPCIÓ PARTIDA</t>
  </si>
  <si>
    <t xml:space="preserve">mides</t>
  </si>
  <si>
    <t xml:space="preserve">CODI REFERÈNCIA</t>
  </si>
  <si>
    <t xml:space="preserve">PREU           sense IVA</t>
  </si>
  <si>
    <t xml:space="preserve">pou drenatge</t>
  </si>
  <si>
    <t xml:space="preserve">Pou de drenatge</t>
  </si>
  <si>
    <t xml:space="preserve">ut</t>
  </si>
  <si>
    <t xml:space="preserve">Formació de pou de drenatge per inflitració de l'aigua superficial al terreny de terra d'argila semidura i reblert amb graves de diàmetre 50mm als primers 70cm i una capa superficial d'ull de perdiu. Inclou p/p de replanteig, excavació manual del terreny de terra d'argila semidura, selecció, replé i compactació del terreny  contigu i eliminació i neteja del material sobrant.</t>
  </si>
  <si>
    <t xml:space="preserve">.mides: 100x100x100cm</t>
  </si>
  <si>
    <t xml:space="preserve">.</t>
  </si>
  <si>
    <t xml:space="preserve">pou drenatge 3</t>
  </si>
  <si>
    <t xml:space="preserve">.mides: 300x300x100cm</t>
  </si>
  <si>
    <t xml:space="preserve">transport residus</t>
  </si>
  <si>
    <t xml:space="preserve">Transport residus</t>
  </si>
  <si>
    <t xml:space="preserve">m3</t>
  </si>
  <si>
    <t xml:space="preserve">Transport de residus inerts o no especials a instal·lació autorizada de gestió de residus, amb contenidor de qualsevol mida de capacitat, amb un recorregut complert fins a la instal·lació autoritzada de gestió del residu. Es considera un increment de 30% de l'amidament en concepte d'esponjament.</t>
  </si>
  <si>
    <t xml:space="preserve">deposició residus</t>
  </si>
  <si>
    <t xml:space="preserve">Deposició en dipòsit autoritzat</t>
  </si>
  <si>
    <t xml:space="preserve">Deposició controlada en dipòsit autoritzat inclòs el cànon sobre la deposició controlada dels residus de la construcció, segons la LLEI 8/2008, de residus barrejats no perillosos, procedents de construcció o demolició. Es considera un increment de 30% de l'amidament en concepte d'esponjament.</t>
  </si>
  <si>
    <t xml:space="preserve">DEMOLICIONS I TALLS</t>
  </si>
  <si>
    <t xml:space="preserve">Tall de paviment</t>
  </si>
  <si>
    <t xml:space="preserve">m</t>
  </si>
  <si>
    <t xml:space="preserve">Execució de tall en paviment de qualsevol tipus, de 10cm de fondària com a mínim, amb màquina tallajunts amb disc de diamant per a paviment, per a delimitar la zona a demolir, i càrrega manual sobre camió o contenidor</t>
  </si>
  <si>
    <t xml:space="preserve">canvi descripcio</t>
  </si>
  <si>
    <t xml:space="preserve">5,02(10cm) 5,70(15cm) itec</t>
  </si>
  <si>
    <t xml:space="preserve">demolició pista</t>
  </si>
  <si>
    <t xml:space="preserve">Demolició de paviment formigó</t>
  </si>
  <si>
    <t xml:space="preserve">m2</t>
  </si>
  <si>
    <t xml:space="preserve">Demolició de paviment exterior de formigó armat, mitjançant retroexcavadora amb martell picador. No inclou la demolició de la base suport. Càrrega manual o mecànica de runa sobre camió o contenedor</t>
  </si>
  <si>
    <t xml:space="preserve">demolició solera formigó</t>
  </si>
  <si>
    <t xml:space="preserve">Demolició de solera de formigó</t>
  </si>
  <si>
    <t xml:space="preserve">Demolició de solera de formigó en massa de fins a 15cm, mitjançant retroexcavadora amb martell picador. El preu inclou el picat i estesa del material per ser utilitzat com a grava de drenatge.</t>
  </si>
  <si>
    <t xml:space="preserve">demolició base asfalt</t>
  </si>
  <si>
    <t xml:space="preserve">Demolició de paviment d'aglomerat asfàltic</t>
  </si>
  <si>
    <t xml:space="preserve">Demolició de paviment d'aglomerat asfàltic amb martell pneumàtic, i càrrega manual sobre camió o contenidor. Tall previ del contorn de zona a demolir. Demolició de l'element. Fragmentació dels enderrocs en peces manejables. Retirada i arreplegat d'enderrocs. Neteja de les restes de l'obra. Càrrega manual d'enderrocs sobre camió o contenidor. No inclou tall ni enderroc de solera de formigó.</t>
  </si>
  <si>
    <t xml:space="preserve">INCLOU TALL i base de forimgó?</t>
  </si>
  <si>
    <t xml:space="preserve">11,45€ generdador de preus CYPE</t>
  </si>
  <si>
    <t xml:space="preserve">Demolició de paviment d'aglomerat asfàltic de 15 cm de gruix mitjà, amb martell pneumàtic, i càrrega manual sobre camió o contenidor.</t>
  </si>
  <si>
    <t xml:space="preserve">demolició paviment de rajoles cautxú</t>
  </si>
  <si>
    <t xml:space="preserve">Demolició de paviment exterior de rajoles de cautxú </t>
  </si>
  <si>
    <t xml:space="preserve">Demolició de paviment exterior de rajoles de cautxú, amb mitjans manuals, i càrrega manual sobre camió o contenidor. El preu no inclou la demolició de la base suport.</t>
  </si>
  <si>
    <t xml:space="preserve">demolició paviment continu de cautxú</t>
  </si>
  <si>
    <t xml:space="preserve">Demolició de paviment exterior continu de cautxú </t>
  </si>
  <si>
    <t xml:space="preserve">Arrencada i demolició de paviment exterior continu de cautxú, amb mitjans manuals, i càrrega manual sobre camió o contenidor. El preu no inclou la demolició de la base suport.</t>
  </si>
  <si>
    <t xml:space="preserve">generdador de preus CYPE</t>
  </si>
  <si>
    <t xml:space="preserve">demolició vorada</t>
  </si>
  <si>
    <t xml:space="preserve">Demolició de graó de formigó</t>
  </si>
  <si>
    <t xml:space="preserve">Demolició de graó de formigó, inclús la seva base, amb compressor i càrrega manual i mecànica de runa sobre camió o conenidor. Inclou l'enderroc d'estesa i alçada de graó de les mides existents.</t>
  </si>
  <si>
    <t xml:space="preserve">.mides 15x25x100cm</t>
  </si>
  <si>
    <t xml:space="preserve">preu del catalunya</t>
  </si>
  <si>
    <t xml:space="preserve">demolició bloc de formigó</t>
  </si>
  <si>
    <t xml:space="preserve">Demolició de mur de bloc de formigó </t>
  </si>
  <si>
    <t xml:space="preserve">Demolició de fàbrica vista, formada per bloc de formigó de 20 cm d'espessor, amb mitjans manuals, sense afectar a l'estabilitat dels elements constructius contigus, i càrrega manual sobre camió o contenidor.</t>
  </si>
  <si>
    <t xml:space="preserve">demolició mur de formigó armat</t>
  </si>
  <si>
    <t xml:space="preserve">Demolició de mur de formigó armat</t>
  </si>
  <si>
    <t xml:space="preserve">Demolició de mur de formigó armat, amb mitjans manuals, martell pneumàtic i equip de oxitall, i càrrega manual sobre camió o contenidor.</t>
  </si>
  <si>
    <t xml:space="preserve">tall de mur de formigó armat</t>
  </si>
  <si>
    <t xml:space="preserve">Tall de mur de formigó armat</t>
  </si>
  <si>
    <t xml:space="preserve">Tall en humit de llosa massissa de formigó armat, amb serra amb disc diamantat,  i càrrega manual sobre camió o contenidor.
</t>
  </si>
  <si>
    <t xml:space="preserve">demolició sabata formigó armat</t>
  </si>
  <si>
    <t xml:space="preserve">Demolició de fonamentació de formigó</t>
  </si>
  <si>
    <t xml:space="preserve">Demolició de fonamentació de formigó en massa, per a elements de mobiliari urbà, amb mitjans manuals, martell pneumàtic i càrrega manual sobre camió o contenidor.
</t>
  </si>
  <si>
    <t xml:space="preserve">preu generador preus</t>
  </si>
  <si>
    <t xml:space="preserve">REBAIX TERRENY</t>
  </si>
  <si>
    <t xml:space="preserve">rebaix de terreny</t>
  </si>
  <si>
    <t xml:space="preserve">Rebaix de terreny</t>
  </si>
  <si>
    <t xml:space="preserve">Excavació a cel obert, en terra d'argila semidura, amb mitjans mecànics i càrrega a camió. El preu no inclou el transport dels materials excavats.</t>
  </si>
  <si>
    <t xml:space="preserve">rebaix fonaments i pous</t>
  </si>
  <si>
    <t xml:space="preserve">Rebaix per a fonaments i pous</t>
  </si>
  <si>
    <t xml:space="preserve">Excavació a cel obert, en terra d'argila semidura, amb mitjans mecànics i càrrega a camió. El preu no inclou el transport dels materials excavats. Excavació de rases per a fonaments o pous, en terreny existent, amb mitjans mecànics adients, i càrrega sobre camió o contenidor. </t>
  </si>
  <si>
    <t xml:space="preserve">generador preus 33,63€</t>
  </si>
  <si>
    <t xml:space="preserve">neteja terreny</t>
  </si>
  <si>
    <t xml:space="preserve">Esbrossada i neteja del terreny</t>
  </si>
  <si>
    <t xml:space="preserve">Esbrossada i neteja del terreny de topografia amb desnivells mínims, amb mitjans mecànics. Comprèn els treballs necessaris per retirar de les zones previstes per a l'edificació o urbanització: arbres, petites plantes, mala herba, brossa, fustes caigudes, runes, escombraries o qualsevol altre material existent: i càrrega a camió.</t>
  </si>
  <si>
    <t xml:space="preserve">PALETERIA I SABATES</t>
  </si>
  <si>
    <t xml:space="preserve">sabata formigó</t>
  </si>
  <si>
    <t xml:space="preserve">Sabata de formigó de 50x50x50</t>
  </si>
  <si>
    <t xml:space="preserve">Formació de sabata de 50x50x50 de formigó HM-20/B/20/X0 fabricat in situ. Inclou excavació en terra d'argila semidura amb mitjans mecànics.</t>
  </si>
  <si>
    <t xml:space="preserve">fonament formigó</t>
  </si>
  <si>
    <t xml:space="preserve">Fonament de formigó HA-25</t>
  </si>
  <si>
    <t xml:space="preserve">Fonament de formigÃ³ armat HA-25/B/20/IIa abocat des de camiÃ³ o qualsevol altre mitjÃ  alternatiu, amb armadura de fonament i esperes de murs que arrenquen del fonament amb barres tipus AP500 S de lÃ­mit elÃ stic &gt; = 500 N / mm2 d'acer en barres corrugades, amb una quantia de fins a 45 kg/mÂ³ (comprovada i validada per el contractista) i encofrat si Ã©s necessari per la tipologia del terreny amb tauler de fusta o qualsevol altre sistema. S'inclouen tots els elements necessaris per a la realització del fonament: formigó, acer, encofrat, perforacions, connectors i qualsevol altre element o treball auxiliar necessari per a la seva execució.   </t>
  </si>
  <si>
    <t xml:space="preserve">mostreig</t>
  </si>
  <si>
    <t xml:space="preserve">Mostreig</t>
  </si>
  <si>
    <t xml:space="preserve">Mostreig, realització de con d'Abrams, elaboració de les provetes, cura, recapçament i assaig a compressió d'una sèrie de cinc provetes cilíndriques de 15x30 cm, segons la norma UNE-EN 12390-1, UNE-EN 12390-2, UNE-EN 12390-3, UNE-EN 12350-1 i UNE-EN 12350-2</t>
  </si>
  <si>
    <t xml:space="preserve">paleteria</t>
  </si>
  <si>
    <t xml:space="preserve">Ajudes de paleta</t>
  </si>
  <si>
    <t xml:space="preserve">h</t>
  </si>
  <si>
    <t xml:space="preserve">Jornada d'ajudes de paleta. Oficial i peò.</t>
  </si>
  <si>
    <t xml:space="preserve">vorada prefabricada</t>
  </si>
  <si>
    <t xml:space="preserve">Vorada prefabricada de formigó</t>
  </si>
  <si>
    <t xml:space="preserve">Subministrament i col.locació de vorada - Recta - MC - A1 (20x14) - B- H - S(R-3,5) - UNE-EN 1340, col·locat sobre base de formigó en massa (HM-20/P/20/X0) de 20 cm d'espessor i rejuntat amb morter de ciment, industrial, M-5.</t>
  </si>
  <si>
    <t xml:space="preserve">.Mides de la peça: 20x14x50cm</t>
  </si>
  <si>
    <t xml:space="preserve">mur pedra</t>
  </si>
  <si>
    <t xml:space="preserve">Mur de pedra</t>
  </si>
  <si>
    <t xml:space="preserve">Execució de mur de maçoneria ordinària a dues cares vistes, amb pedres de maçoneria irregulars en bast, de pedra calcària, amb les seves cares sense obrar, col·locats amb morter de calç industrial, color Natural, M-15, subministrat en sacs i rebliment dels junts amb morter fi, en murs d'espessor variable, fins a 50 cm.</t>
  </si>
  <si>
    <t xml:space="preserve">mur obra</t>
  </si>
  <si>
    <t xml:space="preserve">Mur d'obra</t>
  </si>
  <si>
    <t xml:space="preserve">Execució de mur continu, altura variada, de fàbrica de maó ceràmic buit (H-16), per revestir, 24x19x14 cm, amb junts horitzontals i verticals de 10 mm d'espessor, rebuda amb morter de ciment industrial, color gris, M-5, subministrat a granel. El preu no inclou el revestiment.
</t>
  </si>
  <si>
    <t xml:space="preserve">mur formigó armat</t>
  </si>
  <si>
    <t xml:space="preserve">Mur de formigó armat</t>
  </si>
  <si>
    <t xml:space="preserve">Mur de formigó armat 2C, de fins a 3 m d'altura, gruix 30 cm, superfície plana, realitzat amb formigó HA-25/F/20/XC2 fabricat en central, i abocament amb cubilot, i acer UNE-EN 10080 B 500 S, amb una quantia aproximada de 50 kg/m³, executat en condicions complexes; muntatge i desmuntatge de sistema d'encofrat amb acabat vist amb textura llisa, realitzat amb tauler contraxapat fenòlic amb bastidor metàl·lic, amortitzable en 20 usos. Inclús filferro de lligar, separadors, passamurs per a pas dels tensors i líquid desencofrant, per evitar l'adherència del formigó a l'encofrat.
</t>
  </si>
  <si>
    <t xml:space="preserve">.Cada metre lineal es conta com a 1 metre quadrat mínim.</t>
  </si>
  <si>
    <t xml:space="preserve">generador de preus 501,1</t>
  </si>
  <si>
    <t xml:space="preserve">mur bloc vist</t>
  </si>
  <si>
    <t xml:space="preserve">Mur de bloc cares vistes</t>
  </si>
  <si>
    <t xml:space="preserve">Muret de bloc de dues cares vistes, de 20 cm de gruix, de bloc de morter de ciment foradat, de 400x200x200 mm, de dues cares vistes, llis, gris, amb components hidrofugants, categoria I segons norma UNE-EN 771-3, col·locat amb morter de ciment pòrtland amb filler calcari, de dosificació 1:0,5:4 (10 N/mm2) massissat a les primeres filades soterrades y a tota alçada en un bloc sencer cada 120cm, amb formigó HA-25/P/20/I, col·locat manualment i armat amb acer en barres corrugades elaborat a l'obra B500S de límit elàstic &gt;= 500 N/mm2 per a l'armadura de parets de blocs de morter de ciment, 1Ø12 vertical a cada forat de bloc en les zones massissades i peça de remat en forma de ´´U´´ amb cercol de formigó armat amb 4Ø8 i estreps Ø6c/30 cm. Inclou peces especials d…</t>
  </si>
  <si>
    <t xml:space="preserve">PREU CORAL</t>
  </si>
  <si>
    <t xml:space="preserve">mur bloc</t>
  </si>
  <si>
    <t xml:space="preserve">Mur de bloc a una cara vista</t>
  </si>
  <si>
    <t xml:space="preserve">Mur de contenció de terres de 20 cm d'espessor de fàbrica, de bloc de formigó tipus "H", de càrrega, per anar vist, color gris, 50x20x20 cm, categoria I, resistència normalitzada R10 (10 N/mm²), amb els junts verticals encadellats en sec i els junts horitzontals amb morter de ciment industrial, color gris, M-7,5, subministrat a granel, amb blocs de cantonada, reforçat amb formigó de replè, HA-25/B/12/XC2, preparat en obra, abocament amb mitjans manuals, i armadura d'acer UNE-EN 10080 B 400 S, amb una quantia aproximada de 20 kg/m². Inclús tubs de PVC per drenatge i filferro de lligar.
</t>
  </si>
  <si>
    <t xml:space="preserve">capa morter</t>
  </si>
  <si>
    <t xml:space="preserve">Capa de morter de ciments</t>
  </si>
  <si>
    <t xml:space="preserve">Capa de morter de ciment, tipus CR CSIV W2, segons UNE-EN 998-1, color blanc, de 10 mm d'espessor, reglejat, amb acabat remolinat, aplicat manualment, sobre parament exterior de fàbrica de maó o bloc de formigó, vertical. Inclús rivets de PVC, per a formació de juntes i malla de fibra de vidre antiàlcalis en els canvis de material i en els fronts de forjat, per evitar fissures. El preu inclou la protecció dels elements de l'entorn que puguin veure's afectats durant els treballs i la resolució de punts singulars.
</t>
  </si>
  <si>
    <t xml:space="preserve">solera raspatllat</t>
  </si>
  <si>
    <t xml:space="preserve">Solera de formigó amb acabat raspatllat</t>
  </si>
  <si>
    <t xml:space="preserve">Paviment de formigó amb fibres de polipropilè monofilamentoses, amb aditiu, per a paviment continu i rampes, de 15 cm de gruix, tipus HAF-30/F/12/IIa+E, amb fibres sintètiques amb una quantia de 600 gr/m³, abocat des de camió o qualsevol altre mitjà alternatiu, mestrejat i acabat amb regle vibrat i posterior raspatllat per deixar la textura indicada per la DF. Inclou armadura interior tipus AP500SD amb malla electrosoldada ME 15x15 cm D:6-6 mm B500SD UNE-EN 10080</t>
  </si>
  <si>
    <t xml:space="preserve">graó</t>
  </si>
  <si>
    <t xml:space="preserve">Construcció graó</t>
  </si>
  <si>
    <t xml:space="preserve">Esglaó de 30x17 de mides aproximades, format per peça de vorada recta de formigó, monocapa, amb secció de 20x10cm amb una cantonada axamfranada, col·locat acom a alçada i estesa amb panot de 3x3 pastilles, flor o ratllat de color gris de 20x40x4cm col·locat a truc de maceta amb morter mix. 
</t>
  </si>
  <si>
    <t xml:space="preserve">perfilat terreny</t>
  </si>
  <si>
    <t xml:space="preserve">Perfilat manual de terreny</t>
  </si>
  <si>
    <t xml:space="preserve">Perfilat i repassada de parets i fons de caixa de paviment, en qualsevol tipus de terreny excepte en roca, amb mitjans manuals, fins a aconseguir un acabat geomètric.
</t>
  </si>
  <si>
    <t xml:space="preserve">cype 7,8</t>
  </si>
  <si>
    <t xml:space="preserve">reblert</t>
  </si>
  <si>
    <t xml:space="preserve">Reomplert localitzat amb àrids reciclats</t>
  </si>
  <si>
    <t xml:space="preserve">Reomplert localitzat amb àrid reciclat mixt de formigó i material ceràmic de 40 a 80 mm de diàmetre i compactació en tongades successives de 20 cm d'espessor màxim amb picó vibrant de guiat manual.
</t>
  </si>
  <si>
    <t xml:space="preserve">€/h</t>
  </si>
  <si>
    <t xml:space="preserve">total</t>
  </si>
  <si>
    <t xml:space="preserve">subbase grava</t>
  </si>
  <si>
    <t xml:space="preserve">Subbase de grava 15cm</t>
  </si>
  <si>
    <t xml:space="preserve">Subbase de grava de pedrera de pedra granítica de 15 cm de gruix i, grandària màxima de 50 a 70 mm, amb estesa i piconatge del material.
</t>
  </si>
  <si>
    <t xml:space="preserve">làmina separadora</t>
  </si>
  <si>
    <t xml:space="preserve">Làmina separadora polietilè</t>
  </si>
  <si>
    <t xml:space="preserve">Làmina separadora de polietilè de 150 μm i 144 g/m2, col·locada no adherida</t>
  </si>
  <si>
    <t xml:space="preserve">ACABAT OBRA</t>
  </si>
  <si>
    <t xml:space="preserve">pintat mur</t>
  </si>
  <si>
    <t xml:space="preserve">Pintat de mur</t>
  </si>
  <si>
    <t xml:space="preserve">Aplicació manual de dues mans de pintura al Pliolite, color blanc, acabat mat, textura llisa, (rendiment: 0,09 l/m² cada mà); prèvia aplicació d'una mà d'emprimació acrílica reguladora de l'absorció, sobre parament exterior de morter de ciment.</t>
  </si>
  <si>
    <t xml:space="preserve">pintat ignífug R30</t>
  </si>
  <si>
    <t xml:space="preserve">Pintat ignífug perfils metàl·lics</t>
  </si>
  <si>
    <t xml:space="preserve">Protecció passiva contra incendis d'estructura metàl·lica, mitjançant l'aplicació de tres mans de pintura intumescent para interior o exterior, Promapaint-SC4 "PROMAT", a base de copolímers acrílics a emulsió aquosa, color blanc, fins a formar un gruix mínim de pel·lícula seca de 1620 micres i aconseguir una resistència al foc de 30 minuts, segons UNE-EN 13381-8.</t>
  </si>
  <si>
    <t xml:space="preserve">pintat esmalt</t>
  </si>
  <si>
    <t xml:space="preserve">Pintat perfils metàl·lics</t>
  </si>
  <si>
    <t xml:space="preserve">Aplicació manual de dues mans d'esmalt sintètic d'assecat ràpid, a base de resines alquídiques, color blanc, acabat brillant, (rendiment: 0,077 l/m² cada mà); prèvia aplicació d'una mà d'emprimació sintètica antioxidant d'assecat ràpid, a base de resines alquídiques, color gris, acabat mat (rendiment: 0,125 l/m²), sobre biga formada per peces simples de perfils laminats d'acer.</t>
  </si>
  <si>
    <t xml:space="preserve">arrebossat mur</t>
  </si>
  <si>
    <t xml:space="preserve">Arrebossat de ciment sobre parament exterior</t>
  </si>
  <si>
    <t xml:space="preserve">Arrebossat de ciment, a bona vista, aplicat sobre un parament vertical exterior, acabat superficial rugós, amb morter de ciment, tipus GP CSIII W1, armat i reforçat amb malla antiàlcalis inclús en els canvis de material i en els fronts de forjat, prèvia aplicació d'una primera capa de morter de subjecció sobre el parament.</t>
  </si>
  <si>
    <t xml:space="preserve">arrebossat àrid projectat</t>
  </si>
  <si>
    <t xml:space="preserve">Revestiment amb morter acrílic i àrid projectat</t>
  </si>
  <si>
    <t xml:space="preserve">Revestiment decoratiu en façanes, amb morter suport, color a escollir, acabat granulat imitació pedra natural, amb un rendiment de 5 kg/m² i àrid de marbre, procedent de matxucatge, de granulometria compresa entre 5 i 9 mm, per a la realització de la capa d'acabat en revestiments continus.</t>
  </si>
  <si>
    <t xml:space="preserve">acabat peces abuixardat</t>
  </si>
  <si>
    <t xml:space="preserve">Paviment exterior formigó abuixardat</t>
  </si>
  <si>
    <t xml:space="preserve">Paviment exterior de peces prefabricades de formigó abuixardat, monocapa, , 40x60x7 cm, color blanc, resistència a flexió T, càrrega de ruptura 4, resistència al desgast H, col·locades picat de pitxell amb morter de ciment M-5 de 3 cm de gruix, deixant entre elles un junt de separació d'entre 1,5 i 3 mm. Inclús reomplert de junts amb sorra silícia de mida 0/2 mm</t>
  </si>
  <si>
    <t xml:space="preserve">INSTAL·LACIONS</t>
  </si>
  <si>
    <t xml:space="preserve">instal·lació elèctrica</t>
  </si>
  <si>
    <t xml:space="preserve">Instal·lació elèctrica </t>
  </si>
  <si>
    <t xml:space="preserve">Conjunt de treballs per al subministre, colocació i connexió de nou punt de llum al magatzem de cotxets, i preparació de connexió del porter electrònic.
Inclou aplic de paret tortuga per a exterior amb reixeta metàl·lica. Potència màxima 60W per a bombeta E27 (2 unitats) i sensor de presència.
Tota la instalació completa, amb tots els elements necessaris per al seu funcionament.
Inclou realització d'ajudes de paleteria de qualsevol tipus.</t>
  </si>
  <si>
    <t xml:space="preserve">porter electrònic</t>
  </si>
  <si>
    <t xml:space="preserve">Porter electrònic</t>
  </si>
  <si>
    <t xml:space="preserve">Instal·lació i posta en servei d'equip de porter electrònic antivandàlic compost de: placa exterior del carrer antivandàlica amb polsador de trucada, font d'alimentació i telèfon. Inclús, obreportes, visera, cablejat i caixes.
</t>
  </si>
  <si>
    <t xml:space="preserve">baixant</t>
  </si>
  <si>
    <t xml:space="preserve">Baixant de pluvials</t>
  </si>
  <si>
    <t xml:space="preserve">Baixant circular de PVC amb òxid de titani, de Ø 80 mm, color gris clar, per a recollida d'aigües, formada per peces preformades, amb sistema d'unió per endoll i enganxat mitjançant adhesiu, col·locades amb brides metàl·liques, instal·lada a l'exterior de l'edifici. Inclús líquid netejador, adhesiu per a tubs i accessoris de PVC, connexions, colzes i peces especials.
</t>
  </si>
  <si>
    <t xml:space="preserve">RETIRADA MOBILIARI I JOCS</t>
  </si>
  <si>
    <t xml:space="preserve">retirada tanca metàl·lica</t>
  </si>
  <si>
    <t xml:space="preserve">Retirada de tanca metàl·lica existent</t>
  </si>
  <si>
    <t xml:space="preserve">Retirada de reixat metàl·lic de fins a 2 m d'alçària, com a màxim, sense enderroc de daus de formigó, a mà i càrrega manual i mecànica de runa sobre camió o contenidor</t>
  </si>
  <si>
    <t xml:space="preserve">.Mides de la tanca: mòduls 1.5m x 1m </t>
  </si>
  <si>
    <t xml:space="preserve">pers.</t>
  </si>
  <si>
    <t xml:space="preserve">retirada tanca fusta</t>
  </si>
  <si>
    <t xml:space="preserve">Retirada de tanca de fusta existent</t>
  </si>
  <si>
    <t xml:space="preserve">Retirada de tanca de fusta de fins a 2 m d'alçària, com a màxim, sense enderroc de daus de formigó, a mà i càrrega manual i mecànica de runa sobre camió o contenidor.</t>
  </si>
  <si>
    <t xml:space="preserve">retirada banc</t>
  </si>
  <si>
    <t xml:space="preserve">Retirada mobiliari existent</t>
  </si>
  <si>
    <t xml:space="preserve">Retirada de mobiliari existent (banc existent, jardineres, taules de picnic,...)  sense enderroc de daus de formigó, a mà i acopi en obra (no inclou recol.locació).</t>
  </si>
  <si>
    <t xml:space="preserve">retirada joc existent</t>
  </si>
  <si>
    <t xml:space="preserve">Retirada joc existent</t>
  </si>
  <si>
    <t xml:space="preserve">Retirada de joc existent, sense enderroc de daus de formigó, a mà i acopi en obra (no inclou recol.locació).</t>
  </si>
  <si>
    <t xml:space="preserve">.Mides del joc: alçada fins 1,5m i àrea màx: 100cm*100cm</t>
  </si>
  <si>
    <t xml:space="preserve">RECOL.LOCACIÓ MOBILIARI I JOCS</t>
  </si>
  <si>
    <t xml:space="preserve">recolocació de mobiliari</t>
  </si>
  <si>
    <t xml:space="preserve">Recol.lació de mobiliari existent</t>
  </si>
  <si>
    <t xml:space="preserve">Recol.locació de mobiliari existent (banc existent, jardineres, taules de picnic)  sobre paviment, fixat mecànicament. (No inclou la formació de daus de formigó. No inclou reparació de l'element) </t>
  </si>
  <si>
    <t xml:space="preserve">retirada de vorada de fusta</t>
  </si>
  <si>
    <t xml:space="preserve">Retirada vorada de fusta</t>
  </si>
  <si>
    <t xml:space="preserve">Retirada de vorada de fusta sense enderroc de daus de formigó, a mà i acopi en obra (no inclou recol.locació).</t>
  </si>
  <si>
    <t xml:space="preserve">PAVIMENTS I TERRES</t>
  </si>
  <si>
    <t xml:space="preserve">terra desnivell big bag</t>
  </si>
  <si>
    <t xml:space="preserve">Formació de desnivell</t>
  </si>
  <si>
    <t xml:space="preserve">Formació de desnivell amb terra barrejada amb una proporció aproximada de 45% argila, 45% sauló i un 10% de matèria orgànica per facilitar la plantació de vegetació  (no inclou gespa ni plantes). Subministrament en big bags i estesa amb mitjans manuals i mecànics.</t>
  </si>
  <si>
    <t xml:space="preserve">.mides: m3</t>
  </si>
  <si>
    <t xml:space="preserve">terra desnivell camió</t>
  </si>
  <si>
    <t xml:space="preserve">Formació de desnivell amb terra barrejada amb una proporció aproximada de 45% argila, 45% sauló i un 10% de matèria orgànica per facilitar la plantació de vegetació  (no inclou gespa ni plantes)</t>
  </si>
  <si>
    <t xml:space="preserve">terra vegetal big bag</t>
  </si>
  <si>
    <t xml:space="preserve">Terra vegetal  (per jardineres i parterre)</t>
  </si>
  <si>
    <t xml:space="preserve">Aportació i estesa de terra vegetal de jardineria de categoria alta,  amb una conductivitat elèctrica menor de 0,8 dS/m, segons NTJ 07A, subministrada en big bag i estesa amb mitjans manuals.</t>
  </si>
  <si>
    <t xml:space="preserve">terra vegetal sacs</t>
  </si>
  <si>
    <t xml:space="preserve">Aportació i estesa de terra vegetal de jardineria de categoria alta,  amb una conductivitat elèctrica menor de 0,8 dS/m, segons NTJ 07A, subministrada en sacs i estesa amb mitjans manuals.</t>
  </si>
  <si>
    <t xml:space="preserve">.sac de 50 litres</t>
  </si>
  <si>
    <t xml:space="preserve">terra vegetal càlcul</t>
  </si>
  <si>
    <t xml:space="preserve">.arbres 0,3m3</t>
  </si>
  <si>
    <t xml:space="preserve">sauló</t>
  </si>
  <si>
    <t xml:space="preserve">Paviment de sauló</t>
  </si>
  <si>
    <t xml:space="preserve">Subministrament i estesa de sauló com a paviment amb mitjans manuals. Base de sauló, amb estesa i piconatge del material al 95 % del PM.</t>
  </si>
  <si>
    <t xml:space="preserve">sorra rentada</t>
  </si>
  <si>
    <t xml:space="preserve">Sorra per sorral</t>
  </si>
  <si>
    <t xml:space="preserve">Subministrament i estesa de barreja de sorra de 0.2 a 2 mm de gruix rentada sense partícules de fang ni argiles, amb estesa i nivellat de material. Inclou estesa.</t>
  </si>
  <si>
    <t xml:space="preserve">escorça</t>
  </si>
  <si>
    <t xml:space="preserve">Paviment d'escorça</t>
  </si>
  <si>
    <t xml:space="preserve">Subministrament i estesa d'escorça de pi de 30 a 50mm en sacs de 0,8m3.</t>
  </si>
  <si>
    <t xml:space="preserve">grava volcànica</t>
  </si>
  <si>
    <t xml:space="preserve">Grava volcanica per a jardineres</t>
  </si>
  <si>
    <t xml:space="preserve">Subministrament i  estesa de grava volcànica de 12 a 30 mm, subministrada en sacs de 0,8 m3 i escampada amb mitjans manuals.</t>
  </si>
  <si>
    <t xml:space="preserve">.sacs de 25kg</t>
  </si>
  <si>
    <t xml:space="preserve">ull de perdiu</t>
  </si>
  <si>
    <t xml:space="preserve">Àrid ull de perdiu</t>
  </si>
  <si>
    <t xml:space="preserve">Subministrament i estesa de paviment d'àrid ull de perdiu, rentat,  de grandària màxima 40 a 80 mm i cares arrodonides, amb estesa del material, amb mitjans manuals</t>
  </si>
  <si>
    <t xml:space="preserve">grava 4/7</t>
  </si>
  <si>
    <t xml:space="preserve">Grava de pedrera de pedra granítica, Ø40/70 mm</t>
  </si>
  <si>
    <t xml:space="preserve">Aportació i estesa de grava de pedrera de pedra granítica, Ø40/70 mm subministrada amb big bag i estesa amb mitjans manuals.</t>
  </si>
  <si>
    <t xml:space="preserve">gespa artificial</t>
  </si>
  <si>
    <t xml:space="preserve">Gespa artificial</t>
  </si>
  <si>
    <t xml:space="preserve">Subministrament i col.locació de paviment amb gespa sintètica de fibra de poliolefina d'alçària 20 a 40 mm, col·locat sobre cinta adhesiva per a paviments tèxtils amb adhesiu d'aplicació unilateral de poliuretà, amb llastrat de sorra de sílice.</t>
  </si>
  <si>
    <t xml:space="preserve">.mides: m2</t>
  </si>
  <si>
    <t xml:space="preserve">pedres caminets</t>
  </si>
  <si>
    <t xml:space="preserve">Pedres planes per a camins</t>
  </si>
  <si>
    <t xml:space="preserve">Execució de paviment amb peces irregulars d'entre 20 a 40 cm de diàmetres i d'entre 3 i 4 cm d'espessor per a formació de camins. Instal.lat damunt del terreny.    </t>
  </si>
  <si>
    <t xml:space="preserve">formigó imprès</t>
  </si>
  <si>
    <t xml:space="preserve">Paviment continu de formigó imprès</t>
  </si>
  <si>
    <t xml:space="preserve">Execució de paviment continu de formigó imprès de  10cm de gruix, amb juntes, realitzat amb formigó HM-20/B/20/X0 fabricat en central i abocat des de camió, estès i vibrat manualment mitjançant regla vibrat: acolorit i endurit superfícialment mitjançant espolsada amb morter decoratiu de rodolament per a paviment de formigó, color blanc, rendiment 4,5kg/m2, acabat imprès en relleu, prèvia aplicació de desemmotllant en pols, color bordeus i capa de segellat final amb resina impermeabilitzant. El preu no inclou la base de la solera ni l'execució i el segellat de les juntes.</t>
  </si>
  <si>
    <t xml:space="preserve">Pintura pistes esportives</t>
  </si>
  <si>
    <t xml:space="preserve">Marcat i senyalització de pistes esportives, amb pintura</t>
  </si>
  <si>
    <t xml:space="preserve">Aplicació manual de dues mans de pintura antilliscant, color blanc, acabat setinat, textura llisa, la primera mà diluïda amb un 20% d'aigua i la següent diluïda amb un 5% d'aigua o sense diluir; per a marcat i senyalització de pista de bàsquet, i pista de futbol, amb línies de 5 i 10cm cm d'amplada, contínues o discontínues, segons normes federatives.</t>
  </si>
  <si>
    <t xml:space="preserve">ELEMENTS: FUSTA- PEDRES -FIBRA COCO</t>
  </si>
  <si>
    <t xml:space="preserve">º</t>
  </si>
  <si>
    <t xml:space="preserve">travessa</t>
  </si>
  <si>
    <t xml:space="preserve">Travesses de pi tractades per exterior</t>
  </si>
  <si>
    <t xml:space="preserve">Subministrament i instal·lació de travessa de pi amb els cantos fresats, amb tractament autoclau amb cobertura d'ús 4 segons norma EN-335 de 250x20x10 cm, col·locada horitzontalment sobre el terreny. Inclou p/p de replanteig, excavació manual del terreny, selecció i tall de travesses, replé i compactació del terreny contigu i eliminació i neteja del material sobrant.</t>
  </si>
  <si>
    <t xml:space="preserve">.mides travessa: 250x20x10cm</t>
  </si>
  <si>
    <t xml:space="preserve">travessa i tronc</t>
  </si>
  <si>
    <t xml:space="preserve">Perímetre de travessa i troncs d'acàcia</t>
  </si>
  <si>
    <t xml:space="preserve">Subministrament i instal·lació de travessa de pi amb tractament autoclau i troncs d'acàcia polits, col·locats horitzontalment sobre el terreny, combinat amb troncs d'acàcia verticals de diferents mides. Inclou p/p de replanteig, excavació manual del terreny, selecció i tall de travesses, replé i compactació del terreny contigu i eliminació i neteja del material sobrant.</t>
  </si>
  <si>
    <t xml:space="preserve">.mides variades</t>
  </si>
  <si>
    <t xml:space="preserve">delimitació troncs</t>
  </si>
  <si>
    <t xml:space="preserve">Troncs d'acàcia horitzontals i verticals</t>
  </si>
  <si>
    <t xml:space="preserve">Subministrament i instal·lació de troncs d'acàcia polits i amb oli d'entre 14 i 24cm de diàmetre, col·locats horitzontal i verticalment sobre el terreny. Inclou p/p de replanteig, excavació manual del terreny, selecció i tall de troncs, replè i compactació del terreny contigu i eliminació i neteja del material sobrant.  Inclou mecanització.</t>
  </si>
  <si>
    <t xml:space="preserve">troncs h</t>
  </si>
  <si>
    <t xml:space="preserve">Troncs horitzontal</t>
  </si>
  <si>
    <t xml:space="preserve">Subministrament i instal·lació de troncs d'acàcia polits i amb oli d'entre 14 i 24cm de diàmetre, col·locats horitzontalment sobre el terreny. Inclou p/p de replanteig, excavació manual del terreny, selecció i tall de troncs, replè i compactació del terreny contigu i eliminació i neteja del material sobrant.  Inclou mecanització.</t>
  </si>
  <si>
    <t xml:space="preserve">.mides variades: 120-260cm</t>
  </si>
  <si>
    <t xml:space="preserve">troncs v</t>
  </si>
  <si>
    <t xml:space="preserve">Troncs verticals</t>
  </si>
  <si>
    <t xml:space="preserve">Subministrament i instal·lació de troncs d'acàcia polits i amb oli d'entre 14 i 24cm de diàmetre, col·locats verticalment sobre el terreny. Inclou p/p de replanteig, excavació manual del terreny, selecció i tall de troncs, replè i compactació del terreny contigu i eliminació i neteja del material sobrant.  Inclou mecanització.</t>
  </si>
  <si>
    <t xml:space="preserve">.mides variades: 25-40cm</t>
  </si>
  <si>
    <t xml:space="preserve">tarima acàcia</t>
  </si>
  <si>
    <t xml:space="preserve">Tarima de fusta d'acàcia</t>
  </si>
  <si>
    <t xml:space="preserve">Subministrament i instal·lació de tarima per a exterior, formada per llistons de fusta massissa d'acàcia, fixats mitjançant el sistema de fixació vista, sobre rastrells de fusta de pi, separats 40 cm entre si i fixats a la base existent. </t>
  </si>
  <si>
    <t xml:space="preserve">tarima pi</t>
  </si>
  <si>
    <t xml:space="preserve">Tarima de fusta de pi</t>
  </si>
  <si>
    <t xml:space="preserve">Subministrament i instal·lació de tarima de fusta per a exterior, formada per llistons de fusta massissa de pi tractat a autoclau, fixats mitjançant el sistema de fixació vista, sobre rastrells de fusta de pi, separats 40 cm entre si i fixats a la base existent. </t>
  </si>
  <si>
    <t xml:space="preserve">revestiment acàcia</t>
  </si>
  <si>
    <t xml:space="preserve">Revestiment de fusta d'acàcia</t>
  </si>
  <si>
    <t xml:space="preserve">Execució de forrat de fusta d'acàcia per a exterior, formada per taulons de fusta massissa d'acàcia, fixades mitjançant el sistema de fixació vista, sobre rastrells de fusta de pi, separats 40 cm entre si i fixats a la base existent. </t>
  </si>
  <si>
    <t xml:space="preserve">revestiment de pi tractat</t>
  </si>
  <si>
    <t xml:space="preserve">Revestiment de fusta de pi tractat</t>
  </si>
  <si>
    <t xml:space="preserve">Execució de forrat de fusta de pi tractat per a exterior, formada per taulons de fusta de pi, fixades mitjançant el sistema de fixació vista, sobre rastrells de fusta de pi, separats 40 cm entre si i fixats a la base existent. </t>
  </si>
  <si>
    <t xml:space="preserve">inclosa subestructura de fusta</t>
  </si>
  <si>
    <t xml:space="preserve">subestructura de maó</t>
  </si>
  <si>
    <t xml:space="preserve">Estructura suport de tarimes maó</t>
  </si>
  <si>
    <t xml:space="preserve">Formació  subestructura de suport per a tarimes fins a 50cm amb peus de maó ceràmic massís. No inclou revestiment.</t>
  </si>
  <si>
    <t xml:space="preserve">subestructura de bloc</t>
  </si>
  <si>
    <t xml:space="preserve">Estructura suport de tarimes bloc de formigó</t>
  </si>
  <si>
    <t xml:space="preserve">Formació  subestructura de suport per a tarimes fins a 50cm amb peus de bloc de formigó massisat. No inclou revestiment.</t>
  </si>
  <si>
    <t xml:space="preserve">subestructura de fusta</t>
  </si>
  <si>
    <t xml:space="preserve">Estructura suport de tarimes de fusta</t>
  </si>
  <si>
    <t xml:space="preserve">Formació de subestructura de suport per a tarimes amb rastrells de fusta de pi tractat perfil 69x44cm. No inclou revestiment.</t>
  </si>
  <si>
    <t xml:space="preserve">pedres1</t>
  </si>
  <si>
    <t xml:space="preserve">Pedres gran format</t>
  </si>
  <si>
    <t xml:space="preserve">Subministrament i instal·lació de pedres tipus bolo de riu de 200&gt;400kg col·locada sobre el terreny. Inclou p/p de replanteig, excavació manual del terreny, selecció, replé i compactació del terreny contigu i eliminació i neteja del material sobrant.</t>
  </si>
  <si>
    <t xml:space="preserve">pedres grans: 80/120cm diàmetre. </t>
  </si>
  <si>
    <t xml:space="preserve">pedres2</t>
  </si>
  <si>
    <t xml:space="preserve">Pedres mitjanes</t>
  </si>
  <si>
    <t xml:space="preserve">Subministrament i instal·lació de pedres tipus bolo de riu de 30&gt;40kg col·locada sobre el terreny. Inclou p/p de replanteig, excavació manual del terreny, selecció, replé i compactació del terreny contigu i eliminació i neteja del material sobrant.</t>
  </si>
  <si>
    <t xml:space="preserve">pedres mitjanes: 30cm diàmetre.</t>
  </si>
  <si>
    <t xml:space="preserve">pedres3</t>
  </si>
  <si>
    <t xml:space="preserve">Pedres petites</t>
  </si>
  <si>
    <t xml:space="preserve">Subministrament i instal·lació de pedres tipus bolo de riu de 10&gt;20kg col·locada sobre el terreny. Inclou p/p de replanteig, excavació manual del terreny, selecció, replé i compactació del terreny contigu i eliminació i neteja del material sobrant.</t>
  </si>
  <si>
    <t xml:space="preserve">pedre petites: 20cm diàmetre. Pack de 12 unitats</t>
  </si>
  <si>
    <t xml:space="preserve">rotllo fibra</t>
  </si>
  <si>
    <t xml:space="preserve">Rotllo de fibra de coco</t>
  </si>
  <si>
    <t xml:space="preserve">Subministrament i instal·lació de rotllo de fibra de coco d'alta densitat compactada i estructurada en una xarxa de polipropilè.  </t>
  </si>
  <si>
    <t xml:space="preserve">.mides: 300cm x 30cm diàmetre</t>
  </si>
  <si>
    <t xml:space="preserve">MILANTA -JOCS</t>
  </si>
  <si>
    <t xml:space="preserve">EQUILIBRI</t>
  </si>
  <si>
    <t xml:space="preserve">Rampa paparres</t>
  </si>
  <si>
    <t xml:space="preserve">Rampa amb paparres d'escalar</t>
  </si>
  <si>
    <t xml:space="preserve">Subministrament i instal.lació de rampa de taulell de fusta contralaminada tipus carrosser fenòlic de 120x250cm de 30mm de gruix per a exterior, amb 14 preses omogeniament instal·lades. Inclou la instal·lació i peces especials.  </t>
  </si>
  <si>
    <t xml:space="preserve">sargantana</t>
  </si>
  <si>
    <t xml:space="preserve">Circuit d'escalada</t>
  </si>
  <si>
    <t xml:space="preserve">Subministrament i instal·lació de grimpódrom amb 76 preses d'escalada en dues línies. Línia inferior amb les preses a 55cm d'açada màxima, línia superior entre 150 i 200cm d'alçada. </t>
  </si>
  <si>
    <t xml:space="preserve">.mides. Per a paret de 8m mínim.</t>
  </si>
  <si>
    <t xml:space="preserve">cal.listènia</t>
  </si>
  <si>
    <t xml:space="preserve">Cal.listènia de fusta </t>
  </si>
  <si>
    <t xml:space="preserve">Subministrament i instal·lació d'estructura de troncs verticals amb xarxa de corda i barres d'acer inoxidable. Inclou sabates de fomigó. </t>
  </si>
  <si>
    <t xml:space="preserve">.mides 2,5x2,5x2m</t>
  </si>
  <si>
    <t xml:space="preserve">cal.listènia 3 barres</t>
  </si>
  <si>
    <t xml:space="preserve">Joc de barres d'acer inoxidable </t>
  </si>
  <si>
    <t xml:space="preserve">Subministrament i instal·lació d'estructura de 3 troncs verticals amb barres d'acer inoxidable. Inclou sabates de fomigó. </t>
  </si>
  <si>
    <t xml:space="preserve">.mides 6,7x3,4x2m</t>
  </si>
  <si>
    <t xml:space="preserve">preu eibe</t>
  </si>
  <si>
    <t xml:space="preserve">cal.listènia 2 barres</t>
  </si>
  <si>
    <t xml:space="preserve">Subministrament i instal·lació d'estructura de 2 troncs verticals amb barres d'acer inoxidable. Inclou sabates de fomigó. </t>
  </si>
  <si>
    <t xml:space="preserve">xarxa joc</t>
  </si>
  <si>
    <t xml:space="preserve">Xarxa per grimpar </t>
  </si>
  <si>
    <t xml:space="preserve">Subministrament i instal·lació d'estructura de 4 troncs d'acàcia amb xarxa de corda. </t>
  </si>
  <si>
    <t xml:space="preserve">.mides 1,8x1,80m</t>
  </si>
  <si>
    <t xml:space="preserve">preu cabana tieta</t>
  </si>
  <si>
    <t xml:space="preserve">rampa tronc acàcia</t>
  </si>
  <si>
    <t xml:space="preserve">Rampa de tronc d'acàcia</t>
  </si>
  <si>
    <t xml:space="preserve">Subministrament i col.locació de rampa de fusta d'acàcia</t>
  </si>
  <si>
    <t xml:space="preserve">.mides: 120x45cm</t>
  </si>
  <si>
    <t xml:space="preserve">Tronc escala</t>
  </si>
  <si>
    <t xml:space="preserve">Subministrament i instal.lació de tronc tallat amb graons.</t>
  </si>
  <si>
    <t xml:space="preserve">.mides: Diàmetre 200cm Altura 240cm</t>
  </si>
  <si>
    <t xml:space="preserve">€/m2 iva inclos</t>
  </si>
  <si>
    <t xml:space="preserve">plans inclinats</t>
  </si>
  <si>
    <t xml:space="preserve">Pla inclinat de panell de fusta</t>
  </si>
  <si>
    <t xml:space="preserve">Formació de plans inclinats de fusta per a fomentar els reptes motrius. Estructura de taulells de panell fenòlic, e18mm sobre base de llistons de pi tractat. Inclou preses d'escalada. No inclou l'estructura de suport
</t>
  </si>
  <si>
    <t xml:space="preserve">circuit charlie</t>
  </si>
  <si>
    <t xml:space="preserve">Circuit de joc </t>
  </si>
  <si>
    <t xml:space="preserve">u</t>
  </si>
  <si>
    <t xml:space="preserve">Subministrament i instal.lació de conjunt de diferents plataformes elevades de forma hexagonal de tarima de pi. Alçada entre 90cm i 60cm. Es contempla barana de protecció a les plataformes de més de 60cm. Diferents tipus de pujada: escala, rampa d'escalada, corda, tobogan.
</t>
  </si>
  <si>
    <t xml:space="preserve">.mides: segons disseny</t>
  </si>
  <si>
    <t xml:space="preserve">rampa lliscant amb barana</t>
  </si>
  <si>
    <t xml:space="preserve">Rampa lliscant amb preses i barana lateral</t>
  </si>
  <si>
    <t xml:space="preserve">Subministrament i instal.lació d'estructura de joc amb rampa lliscant de tarima de fusta de pi tractada i rampa amb preses de fins 6m2. Inclou la formació de les baranes laterals amb subestructura de llistó de pi tractat, tancament superficial interior amb panell fenòlic, e18mm i tancament superficial exterior amb tarima de fusta de pi tractat. </t>
  </si>
  <si>
    <t xml:space="preserve">.mides: 6m2</t>
  </si>
  <si>
    <t xml:space="preserve">preu tret de les Clisques</t>
  </si>
  <si>
    <t xml:space="preserve">preu castell</t>
  </si>
  <si>
    <t xml:space="preserve">castell fusta </t>
  </si>
  <si>
    <t xml:space="preserve">Castell de joc </t>
  </si>
  <si>
    <t xml:space="preserve">Subministrament i instal.lació de Castell de Joc format per una subestructura de fusta de pi tractada, pilars de fusta de 90x90mm, paviment de tarima de fusta de pi tractada, i baranes de fins h.110cm formades per allistonat de pi tractat. </t>
  </si>
  <si>
    <t xml:space="preserve">.h.segons disseny</t>
  </si>
  <si>
    <t xml:space="preserve">façana de castell</t>
  </si>
  <si>
    <t xml:space="preserve">Façana del castell de joc </t>
  </si>
  <si>
    <t xml:space="preserve">Subministrament i instal.lació de façana formada per una quadricula d'allistonat de pi tractat de 50x50mm a una de les cares i acabat d'allistonat de fusta de pi tractat de 96x18mm per l'altre costat. </t>
  </si>
  <si>
    <t xml:space="preserve">preu les clisques</t>
  </si>
  <si>
    <t xml:space="preserve">estructura joc</t>
  </si>
  <si>
    <t xml:space="preserve">Estructura de joc </t>
  </si>
  <si>
    <t xml:space="preserve">Subministrament i instal.lació d'estructura de joc de tarima de pi. Alçada entre 90cm i 60cm. Es contempla barana de protecció a les plataformes de més de 60cm. 
</t>
  </si>
  <si>
    <t xml:space="preserve">conjunt 5 troncs</t>
  </si>
  <si>
    <t xml:space="preserve">Estructura de troncs d'equilibri</t>
  </si>
  <si>
    <t xml:space="preserve">Subministrament i instal·lació d'estructura formada per 5 troncs d'acàcia tractada. Tres troncs de 230 cm de diametre entre 12-16cm, un tronc de 180 cm i diametre entre 14-18cm i un tronc de 80cm i diametre 20cm.</t>
  </si>
  <si>
    <t xml:space="preserve">.mides: 3x3m</t>
  </si>
  <si>
    <t xml:space="preserve">troncs la Pau</t>
  </si>
  <si>
    <t xml:space="preserve">Estructura de troncs d'equilibri la Pau</t>
  </si>
  <si>
    <t xml:space="preserve">Subministrament i instal·lació d'estructura formada per troncs verticals i horitzontals de fusta tractada amb oli. Dos troncs de 230 cm, quatre de 160 cm, dos de 80 cm  i un amb la forma de una Y.</t>
  </si>
  <si>
    <t xml:space="preserve">.mides: 6m2 aprox.</t>
  </si>
  <si>
    <t xml:space="preserve">piramide troncs</t>
  </si>
  <si>
    <t xml:space="preserve">Estructura de troncs 4 nivells</t>
  </si>
  <si>
    <t xml:space="preserve">Subministrament i instal·lació d'estructura formada per 8 troncs horitzontals de fusta d'acàcia tractada amb oli. Els troncs tenen diferents mides i estan col·locats intercalats, en forma piramidal fins a 4 nivells. Dos troncs de 147 cm, quatre de 120 cm, dos de 80 cm.</t>
  </si>
  <si>
    <t xml:space="preserve">.mides: 147x117x72cm</t>
  </si>
  <si>
    <t xml:space="preserve">bosc troncs</t>
  </si>
  <si>
    <t xml:space="preserve">Bosc de troncs</t>
  </si>
  <si>
    <t xml:space="preserve">Subministrament i instal·lació d'estructura formada per 25 troncs d'entre 16 i 24 cm de diàmetre, tallats a diverses alçades que, ajuntats, formen una elevació d'entre uns 20 i 50 cm.</t>
  </si>
  <si>
    <t xml:space="preserve">.mides: 100x80x50cm</t>
  </si>
  <si>
    <t xml:space="preserve">xirinacs</t>
  </si>
  <si>
    <t xml:space="preserve">Estructura de troncs d'equilibri Xirinacs</t>
  </si>
  <si>
    <t xml:space="preserve">Subministrament i instal.lació d'estructura de 70ml troncs d'acàcia amb xarxa d'escalada i petita tarima, per a la descoberta i l'experimentació motriu.</t>
  </si>
  <si>
    <t xml:space="preserve">Mides: 750x670x210cm</t>
  </si>
  <si>
    <t xml:space="preserve">tarima xilòfon</t>
  </si>
  <si>
    <t xml:space="preserve">Tarima xilòfon</t>
  </si>
  <si>
    <t xml:space="preserve">Subministrament i col.locació de tarima de de fusta formada per subestructura de 2 troncs d'acàcia polits i amb tractament d'oli d'entre 14 i 24cm de diàmetre i plataforma triangular de llistons de fusta d'acàcia cargolada a la subestructura. (no inclou estructura de pilars).  </t>
  </si>
  <si>
    <t xml:space="preserve">.mides  superfície: 2m2</t>
  </si>
  <si>
    <t xml:space="preserve">circuit de troncs</t>
  </si>
  <si>
    <t xml:space="preserve">Circuit de troncs amb tarimes de fusta, xarxa i cordes</t>
  </si>
  <si>
    <t xml:space="preserve">Subministrament i instal.lació d'estructura de troncs d'acàcia amb xarxa d'escalada, petita tarima i cordes per a la descoberta i l'experimentació motriu.</t>
  </si>
  <si>
    <t xml:space="preserve">.mides:600x600x250cm</t>
  </si>
  <si>
    <t xml:space="preserve">piràmide doble vèrtex</t>
  </si>
  <si>
    <t xml:space="preserve">Piràmide de doble vèrtex</t>
  </si>
  <si>
    <t xml:space="preserve">Subministrament i instal.lació d'estructura de fusta de pi amb tractament d'autoclau. Consta de pals de 10 cm de diàmetre i de dues peces d'unió d'acer.</t>
  </si>
  <si>
    <t xml:space="preserve">.mides: 700x400x250cm</t>
  </si>
  <si>
    <t xml:space="preserve">ELEMENTS</t>
  </si>
  <si>
    <t xml:space="preserve">caixes joc simbòlic 1</t>
  </si>
  <si>
    <t xml:space="preserve">Espai de joc simbòlic</t>
  </si>
  <si>
    <t xml:space="preserve">Subministrament i instal.lació de racó simbòlic format per caixes de fusta.</t>
  </si>
  <si>
    <t xml:space="preserve">.mides: 12 caixes de fusta i uns fogons (mides caixa 53 x 34 x 25 cm)</t>
  </si>
  <si>
    <t xml:space="preserve">caixes joc simbòlic 2</t>
  </si>
  <si>
    <t xml:space="preserve">.mides: 9 caixes de fusta, una taula i uns fogons (mides caixa 53 x 34 x 25 cm)</t>
  </si>
  <si>
    <t xml:space="preserve">Balança cabassos</t>
  </si>
  <si>
    <t xml:space="preserve">Subministrament i instal·lació d'estructura de balança de cabassos. </t>
  </si>
  <si>
    <t xml:space="preserve">.Mides : 150x55x120cm</t>
  </si>
  <si>
    <t xml:space="preserve">preu instal·lat sobre terra de sauló o formigó</t>
  </si>
  <si>
    <t xml:space="preserve">cuineta molí 0-3</t>
  </si>
  <si>
    <t xml:space="preserve">Obrador Molí per bressol</t>
  </si>
  <si>
    <t xml:space="preserve">Subministrament i instal.lació de cuina fusta amb. Moble de fusta amb prestatges, fogons, taulell pel racó de joc simbòlic. No inclou accessoris.</t>
  </si>
  <si>
    <t xml:space="preserve">.mides. 180x40x80h</t>
  </si>
  <si>
    <t xml:space="preserve">cuineta molí</t>
  </si>
  <si>
    <t xml:space="preserve">Obrador Molí</t>
  </si>
  <si>
    <t xml:space="preserve">pont penjat</t>
  </si>
  <si>
    <t xml:space="preserve">Pont penjat</t>
  </si>
  <si>
    <t xml:space="preserve">ml</t>
  </si>
  <si>
    <t xml:space="preserve">Subministrament i instal.lació de pont amb base de llistons de fusta de pi tractat de 96x22mm separats entre si a una distància màxima de 10cm. Inclou barana a base de muntants de fusta de pi tractat amb autoclau de secció quadrada 4,5x4,5cm, de  100cm d'alt acabat i amb una separació de 100cm entre muntants. Inclou les fixacions.</t>
  </si>
  <si>
    <t xml:space="preserve">.mides: 200x90cm </t>
  </si>
  <si>
    <t xml:space="preserve">pont corda</t>
  </si>
  <si>
    <t xml:space="preserve">Pont de corda</t>
  </si>
  <si>
    <t xml:space="preserve">Subministrament i instal.lació d'un entremat de cordes formant un pont mòvil. Material: corda armada de 16mm. El pont es fixarà entre dos elements de fusta. La base del pont es d'una linia de corda i les baranes laterals també de corda estan separades entre elles 80cm. base de llistons de fusta de pi tractat de 96x22mm separats entre si a una distància màxima de 10cm. Inclou barana a base de muntants de fusta de pi tractat amb autoclau de secció quadrada 4,5x4,5cm, de  100cm d'alt acabat i amb una separació de 100cm entre muntants. Inclou les fixacions.</t>
  </si>
  <si>
    <t xml:space="preserve">.mides:segons disseny</t>
  </si>
  <si>
    <t xml:space="preserve">turó descoberta 0-3</t>
  </si>
  <si>
    <t xml:space="preserve">Turó de la descoberta Bressol</t>
  </si>
  <si>
    <t xml:space="preserve">Subministrament i instal·lació d'estructura de fusta amb una plataforma elevada i escales i rampa per grimpada i descens i un bosquet de troncs. Estructura de fusta de pi amb tractament a l’autoclau. No inclou terra i plantes.</t>
  </si>
  <si>
    <t xml:space="preserve">.mides: 3m llarg x 2.20m ampe x 0.60m alçada</t>
  </si>
  <si>
    <t xml:space="preserve">pont de fusta amb rampa 0-3</t>
  </si>
  <si>
    <t xml:space="preserve">Pont de fusta amb rampa per bressol</t>
  </si>
  <si>
    <t xml:space="preserve">Subministrament i instal·lació d'estructura de fusta amb una plataforma elevada i escales i rampa als costats per accedir-hi. Tub magnum de 60cm de diàmetre.</t>
  </si>
  <si>
    <t xml:space="preserve">.mides: Estructura 2,90 x 0,80m i 0,70m d'alçada. Tub de 60cm de Diàmetre i 1,20m de llarg.</t>
  </si>
  <si>
    <t xml:space="preserve">pont de fusta amb rampa 3-6</t>
  </si>
  <si>
    <t xml:space="preserve">Pont de fusta amb rampa infantil</t>
  </si>
  <si>
    <t xml:space="preserve">Subministrament i instal·lació d'estructura de fusta amb una plataforma elevada i escales i rampa als costats per accedir-hi. Tub magnum de 80cm de diàmetre.</t>
  </si>
  <si>
    <t xml:space="preserve">.mides: Estructura 3,65 x 0'8m i 0,90 m d'alçada. Tub de 80cm de Diàmetre i 1'20m de llarg.</t>
  </si>
  <si>
    <t xml:space="preserve">pont mobil</t>
  </si>
  <si>
    <t xml:space="preserve">Pont mòbil de fusta </t>
  </si>
  <si>
    <t xml:space="preserve">Subministrament i instal·lació d'estructura de fusta amb una plataforma mòbil amb baranes de fusta i cordes.</t>
  </si>
  <si>
    <t xml:space="preserve">.mides:147 x 70 x 70cm</t>
  </si>
  <si>
    <t xml:space="preserve">doble rampa petita</t>
  </si>
  <si>
    <t xml:space="preserve">Doble rampa de fusta petita amb amagatall</t>
  </si>
  <si>
    <t xml:space="preserve">Subministrament i instal·lació d'estructura de doble rampa de fusta amb propostes motrius per grimpar i amagatall.  Material: panell fenòlic i fusta de pi tractat. </t>
  </si>
  <si>
    <t xml:space="preserve">.mides:180 x 82 x 55cm</t>
  </si>
  <si>
    <t xml:space="preserve">tub 60</t>
  </si>
  <si>
    <t xml:space="preserve">Túnel de tub</t>
  </si>
  <si>
    <t xml:space="preserve">Subministrament i instal·lació de tub corrugat (túnel) de 60cm de diàmetre i 120cm de llargada amb travesses al voltant com a element de fixació al terreny.</t>
  </si>
  <si>
    <t xml:space="preserve">.mides: Tub 120x 60cm</t>
  </si>
  <si>
    <t xml:space="preserve">120€ (preu venta escola només tub) + 138€ (3*46hores muntatge)</t>
  </si>
  <si>
    <t xml:space="preserve">tub 60 tarima</t>
  </si>
  <si>
    <t xml:space="preserve">Túnel de tub sobre tarima</t>
  </si>
  <si>
    <t xml:space="preserve">Subministrament i instal·lació de tub corrugat (túnel) de 80cm de diàmetre i 120cm de llargada amb travesses al voltant com a element de fixació al terreny.</t>
  </si>
  <si>
    <t xml:space="preserve">.mides: Tub 120x 80cm</t>
  </si>
  <si>
    <t xml:space="preserve">tub 80 tarima</t>
  </si>
  <si>
    <t xml:space="preserve">tub</t>
  </si>
  <si>
    <t xml:space="preserve">transvassament de sorra</t>
  </si>
  <si>
    <t xml:space="preserve">Estructura vertical de transvassament de sorra</t>
  </si>
  <si>
    <t xml:space="preserve">Subministrament i instal·lació d'estructura de transvassament de sorra. Estructura de fusta per fer transvassaments entre sorrals a diferents alçades amb politja i cabassos.</t>
  </si>
  <si>
    <t xml:space="preserve">gronxador niu</t>
  </si>
  <si>
    <t xml:space="preserve">Gronxador niu</t>
  </si>
  <si>
    <t xml:space="preserve">Subministrament i col.locació de gronxador niu amb estructura de troncs d'acàcia polits i amb tractament d'oli. Gronxador de diàmetre 100cm fabricat amb un trenat de cordes sintètiques de colors amb nucli intern d'acer i cadena de malla galvanitzada unida a la biga amb un doble dispositiu de fixació especial. Cal terra esmorteidor: sorra rentada de riu o gravilla (no inclòs). Àrea de seguretat: 275 x 737 cm</t>
  </si>
  <si>
    <t xml:space="preserve">.Mides: 275x115x237cm - diàmetre gronxador 100cm</t>
  </si>
  <si>
    <t xml:space="preserve">Llaüt</t>
  </si>
  <si>
    <t xml:space="preserve">Vaixell Llaüt</t>
  </si>
  <si>
    <t xml:space="preserve">Subministrament i col.locació de vaixell de cedre inspirat en els llaüts menorquins.</t>
  </si>
  <si>
    <t xml:space="preserve">.mides: 350x155x300cm</t>
  </si>
  <si>
    <t xml:space="preserve">ÀGORA</t>
  </si>
  <si>
    <t xml:space="preserve">rotllana esquirol</t>
  </si>
  <si>
    <t xml:space="preserve">Rotllana de l'esquirol</t>
  </si>
  <si>
    <t xml:space="preserve">Subministrament i instal·lació de troncs d'acàcia polits i amb oli d'entre 14 i 24cm de diàmetre, col·locats verticalment sobre el terreny, en forma de rotllana. Inclou p/p de replanteig, excavació manual del terreny, selecció i tall de troncs, replè i compactació del terreny contigu i eliminació i neteja del material sobrant.  Inclou mecanització.</t>
  </si>
  <si>
    <t xml:space="preserve">.mides: 240cm de diàmetre. 23 troncs mitjans i un tronc gruixut al mig</t>
  </si>
  <si>
    <t xml:space="preserve">àgora troncs pentàgon</t>
  </si>
  <si>
    <t xml:space="preserve">Àgora de troncs</t>
  </si>
  <si>
    <t xml:space="preserve">Subministrament i instal·lació d'estructura formada per troncs verticals i horitzontals de fusta tractada amb oli, disseny a mida.</t>
  </si>
  <si>
    <t xml:space="preserve">.mides: 6m2 aprox</t>
  </si>
  <si>
    <t xml:space="preserve">àgora1</t>
  </si>
  <si>
    <t xml:space="preserve">Àgora travessa T</t>
  </si>
  <si>
    <t xml:space="preserve">Subministrament i instal·lació d'Àgora de trobada de 10 travesses de pi amb els cantos fresats, amb tractament autoclau amb cobertura d'ús 4 segons norma EN-335 de 250x20x10 cm, col·locada horitzontalment sobre el terreny. Inclou p/p de replanteig, excavació manual del terreny, selecció i tall de travesses, replé i compactació del terreny contigu i eliminació i neteja del material sobrant.</t>
  </si>
  <si>
    <t xml:space="preserve">.mides: 320x320cm</t>
  </si>
  <si>
    <t xml:space="preserve">àgora2</t>
  </si>
  <si>
    <t xml:space="preserve">Àgora travessa entorn arbre</t>
  </si>
  <si>
    <t xml:space="preserve">Subministrament i instal·lació d'Àgora de trobada de 13 travesses de pi amb els cantos fresats, amb tractament autoclau amb cobertura d'ús 4 segons norma EN-335 de 250x20x10 cm, col·locada horitzontalment sobre el terreny. Inclou p/p de replanteig, excavació manual del terreny, selecció i tall de travesses, replé i compactació del terreny contigu i eliminació i neteja del material sobrant.</t>
  </si>
  <si>
    <t xml:space="preserve">.mides: 360x360cm</t>
  </si>
  <si>
    <t xml:space="preserve">àgora hexagonal</t>
  </si>
  <si>
    <t xml:space="preserve">Àgora travessa hexagonal</t>
  </si>
  <si>
    <t xml:space="preserve">.mides: 500cm de diàmetre</t>
  </si>
  <si>
    <t xml:space="preserve">BANCS</t>
  </si>
  <si>
    <t xml:space="preserve">banc mig tronc gran</t>
  </si>
  <si>
    <t xml:space="preserve">Banc de mig tronc gran</t>
  </si>
  <si>
    <t xml:space="preserve">Subministrament i instal·lació de banc fet amb mig tronc d'acàcia</t>
  </si>
  <si>
    <t xml:space="preserve">.mides: 120x25x40cm</t>
  </si>
  <si>
    <t xml:space="preserve">banc mig tronc petit</t>
  </si>
  <si>
    <t xml:space="preserve">Banc de mig tronc petit</t>
  </si>
  <si>
    <t xml:space="preserve">.mides: 80x25x30 cm</t>
  </si>
  <si>
    <t xml:space="preserve">banc de gabions i sobre de fusta</t>
  </si>
  <si>
    <t xml:space="preserve">Banc de mur de gabions i superfície plana de banc de llistons de fusta de pi</t>
  </si>
  <si>
    <t xml:space="preserve">Execució de mur de gabions amb una cara vista de malla electrosoldada, de filferro d'acer galvanitzat de 4,5 mm de diàmetre, amb una obertura de malla de 50x100 mm a les cares vistes i de 100x100 mm en les cares ocultes; reblert amb mitjans mecànics amb pedra calcària, de granulometria compresa entre 70 i 250 mm; Inclús tensors i grapes per a conformar adequadament els gabions. Banc de llistons de pi tractat.
</t>
  </si>
  <si>
    <t xml:space="preserve">gandules</t>
  </si>
  <si>
    <t xml:space="preserve">Gandula de fusta</t>
  </si>
  <si>
    <t xml:space="preserve">Subministrament i col.locació de gàndula de fusta formada per subestructura de llistons de fusta de pi tractada per exterior de 200x100mm i revestiment amb lames de fusta de pi tractada per a exterior, de 145mmx34mm. Inclou el muntatge amb tots els elements necessaris.</t>
  </si>
  <si>
    <t xml:space="preserve">.Mides : 1x1,95m</t>
  </si>
  <si>
    <t xml:space="preserve">TAULES</t>
  </si>
  <si>
    <t xml:space="preserve">taula mig tronc amb 6 seients</t>
  </si>
  <si>
    <t xml:space="preserve">Taula mig tronc amb 6 seients</t>
  </si>
  <si>
    <t xml:space="preserve">Subministrament i instal·lació de taula de fusta feta a partir de mig tronc, més sis seients de troncs gruixuts.</t>
  </si>
  <si>
    <t xml:space="preserve">.mides: 120x40x40cm seients h30cm</t>
  </si>
  <si>
    <t xml:space="preserve">taula experimentació petita</t>
  </si>
  <si>
    <t xml:space="preserve">Taula d'experimentació petita</t>
  </si>
  <si>
    <t xml:space="preserve">Subministrament i instal·lació de taula petita de fusta de carrosser amb recipients per a fer transvassaments i acompanyar el joc de sorral. Inclou  dos sedassos i embut.</t>
  </si>
  <si>
    <t xml:space="preserve">.mides: 120x60x38 cm</t>
  </si>
  <si>
    <t xml:space="preserve">taula experimentació gran</t>
  </si>
  <si>
    <t xml:space="preserve">Taula d'experimentació gran</t>
  </si>
  <si>
    <t xml:space="preserve">Subministrament i instal·lació de taula gran de fusta de carrosser amb recipients per a fer transvassaments i acompanyar el joc de sorral. Inclou un bidó, dos sedassos i setanta accessoris.</t>
  </si>
  <si>
    <t xml:space="preserve">.mides: 150x60x58 cm</t>
  </si>
  <si>
    <t xml:space="preserve">taula experimentació 2 nivells</t>
  </si>
  <si>
    <t xml:space="preserve">Taula d'experimentació 2 nivells</t>
  </si>
  <si>
    <t xml:space="preserve">Subministrament i instal·lació de taula de fusta de carrosser amb recipients per a fer transvassaments i acompanyar el joc de sorral. Inclou: 3 embuts de 22cm, 18 i 12cm + 2 sedacets de 15 x 15 + racors i tuberies ( 3 tubs + 8 racords) + manegues de 2 diametres + 6 culleretes + 2 pots + 1 morter + 4 closques de coco +4 llauradors</t>
  </si>
  <si>
    <t xml:space="preserve">.mides: 270 (150 + 120) x 60 x 60 i 38 cm</t>
  </si>
  <si>
    <t xml:space="preserve">taula picnic adults</t>
  </si>
  <si>
    <t xml:space="preserve">Taula de picnic de fusta per exterior per adults</t>
  </si>
  <si>
    <t xml:space="preserve">Subministrament i instal·lació de taula picnic amb bancs de fusta</t>
  </si>
  <si>
    <t xml:space="preserve">.mides: 200x77x80cm</t>
  </si>
  <si>
    <t xml:space="preserve">taula picnic 6/12</t>
  </si>
  <si>
    <t xml:space="preserve">Taula de picnic de fusta per exterior 6/12anys</t>
  </si>
  <si>
    <t xml:space="preserve">.mides: 120x60x70cm (40cm alçada del banc)</t>
  </si>
  <si>
    <t xml:space="preserve">taula picnic 3/6</t>
  </si>
  <si>
    <t xml:space="preserve">Taula de picnic de fusta per exterior 3/6anys</t>
  </si>
  <si>
    <t xml:space="preserve">.mides: 120x60x54cm</t>
  </si>
  <si>
    <t xml:space="preserve">CABANES</t>
  </si>
  <si>
    <t xml:space="preserve">túnel barres</t>
  </si>
  <si>
    <t xml:space="preserve">Túnel vegetal amb barres metàl.liques</t>
  </si>
  <si>
    <t xml:space="preserve">Subministrament i instal·lació de túnel fet amb barres metàl.liques plegades, ancorades a travessa de fusta</t>
  </si>
  <si>
    <t xml:space="preserve">.mides: 1x180x115cm</t>
  </si>
  <si>
    <t xml:space="preserve">túnel bambú</t>
  </si>
  <si>
    <t xml:space="preserve">Túnel de bambú</t>
  </si>
  <si>
    <t xml:space="preserve">Subministrament i instal·lació de túnel fet amb canya de bambú massissa, plegada, ancorades a travessa de fusta i/o terra</t>
  </si>
  <si>
    <t xml:space="preserve">Palafit</t>
  </si>
  <si>
    <t xml:space="preserve">Cabana Palafit</t>
  </si>
  <si>
    <t xml:space="preserve">Subministrament i col.locació de cabana de troncs dàcàcia tipus palafit. Cabana oberta amb plataforma i teulada de fusta.</t>
  </si>
  <si>
    <t xml:space="preserve">.mides: 250x135x250cm</t>
  </si>
  <si>
    <t xml:space="preserve">cabana giravoltes</t>
  </si>
  <si>
    <t xml:space="preserve">Cabana de fusta</t>
  </si>
  <si>
    <t xml:space="preserve">Subministrament i instal.lació de cabana de fusta amb teulada a dues aigües i finestres.</t>
  </si>
  <si>
    <t xml:space="preserve">.mides: 140x160x155cm</t>
  </si>
  <si>
    <t xml:space="preserve">cabana 3/12  cordes</t>
  </si>
  <si>
    <t xml:space="preserve">Cabana de fusta amb cordes i paparres d'escalar</t>
  </si>
  <si>
    <t xml:space="preserve">Subministrament i instal.lació de cabana de fusta amb teulada a dues aigües amb cordes i paparres d'escalar.</t>
  </si>
  <si>
    <t xml:space="preserve">cabana 3/6</t>
  </si>
  <si>
    <t xml:space="preserve">Subministrament i instal.lació de cabana de fusta amb teulada a dues aigües.</t>
  </si>
  <si>
    <t xml:space="preserve">cabana cobert</t>
  </si>
  <si>
    <t xml:space="preserve">Cabana de fusta amb teulada a dues aigues </t>
  </si>
  <si>
    <t xml:space="preserve">Subministrament i instal.lació de cobert de fusta amb teulada a dues aigües. Estructura de 3 bigues de fusta de llistó de 115X45cm  inclinades a cada una de les aigües. Coberta de llistons de fusta de pi tractat a autoclau de 96x22mm. Inclou sabates de formigó i fixacions metàl·liques.</t>
  </si>
  <si>
    <t xml:space="preserve">.mides: 300x150x155h cm</t>
  </si>
  <si>
    <t xml:space="preserve">cabana niu</t>
  </si>
  <si>
    <t xml:space="preserve">Cabana niu d'ocells</t>
  </si>
  <si>
    <t xml:space="preserve">Subministrament i instal.lació de cabana de fusta d'càcia en forma de niu d'ocell. </t>
  </si>
  <si>
    <t xml:space="preserve">.mides: 120x160x125cm (h.25cm per sobre terra)</t>
  </si>
  <si>
    <t xml:space="preserve">tipi petit</t>
  </si>
  <si>
    <t xml:space="preserve">Tipi hexagonal petit</t>
  </si>
  <si>
    <t xml:space="preserve">Subministrament i instal.lació de cabana de fusta amb forma de tipi de sis costats per a exterior. </t>
  </si>
  <si>
    <t xml:space="preserve">.mides: Diàmetre 143cm Altura 205cm</t>
  </si>
  <si>
    <t xml:space="preserve">tipi gran</t>
  </si>
  <si>
    <t xml:space="preserve">Tipi hexagonal gran</t>
  </si>
  <si>
    <t xml:space="preserve">Subministrament i instal.lació de cabana de fusta amb forma de tipi de sis costats per a exterior.</t>
  </si>
  <si>
    <t xml:space="preserve">tipi troncs</t>
  </si>
  <si>
    <t xml:space="preserve">Tipi de troncs</t>
  </si>
  <si>
    <t xml:space="preserve">Subministrament i instal.lació de cabana de fusta amb 4 troncs verticals lligats entre ells.</t>
  </si>
  <si>
    <t xml:space="preserve">.mides: 170cm de diàmetre.  220cm d'altura</t>
  </si>
  <si>
    <t xml:space="preserve">cabana tanques reciclades</t>
  </si>
  <si>
    <t xml:space="preserve">Cabana verda a dues aigües per a crear espais arrecerats.</t>
  </si>
  <si>
    <t xml:space="preserve">Subministrament i instal.lació de cabana a dues aigües per a crear espais arrecerats. Formada per dues tanques reciclades. La cabana s'acaba amb plantes enfiladisses no incloses en aquesta partida.</t>
  </si>
  <si>
    <t xml:space="preserve">.mides: 340x150x185cm </t>
  </si>
  <si>
    <t xml:space="preserve">TOBOGAN</t>
  </si>
  <si>
    <t xml:space="preserve">tobogan inox h.90cm</t>
  </si>
  <si>
    <t xml:space="preserve">Tobogan d'acer inoxidable</t>
  </si>
  <si>
    <t xml:space="preserve">Subministrament i col.locació de tobogan d'acer inoxidable, alçada 90cm i amplària 1m. </t>
  </si>
  <si>
    <t xml:space="preserve">.Mides del joc: alçada 90cm i 1m amplada</t>
  </si>
  <si>
    <t xml:space="preserve">tobogan plàstic h.90cm</t>
  </si>
  <si>
    <t xml:space="preserve">Tobogan de polimer H90</t>
  </si>
  <si>
    <t xml:space="preserve">Subministrament i col.locació de tobogan de polimer, moldejat segons rotomoldeo, d'alçada 90cm i amplària 66cm. Color taronja RAL 2010, 100% reciclat</t>
  </si>
  <si>
    <t xml:space="preserve">.Mides del joc: alçada 90cm i 66cm amplada</t>
  </si>
  <si>
    <t xml:space="preserve">tobogan inox h.120cm</t>
  </si>
  <si>
    <t xml:space="preserve">Subministrament i col.locació de tobogan d'acer inoxidable, alçada 120cm i amplària 1m. </t>
  </si>
  <si>
    <t xml:space="preserve">tobogan plàstic h.150cm</t>
  </si>
  <si>
    <t xml:space="preserve">Tobogan de polimer H150</t>
  </si>
  <si>
    <t xml:space="preserve">Subministrament i col.locació de tobogan de polimer, moldejat segons rotomoldeo, d'alçada 150cm i amplària 66cm. Color taronja RAL 2010, 100% reciclat</t>
  </si>
  <si>
    <t xml:space="preserve">.Mides del joc: alçada 150cm i 66cm amplada</t>
  </si>
  <si>
    <t xml:space="preserve">AIGUA</t>
  </si>
  <si>
    <t xml:space="preserve">font</t>
  </si>
  <si>
    <t xml:space="preserve">Font amb tronc</t>
  </si>
  <si>
    <t xml:space="preserve">Subministrament i instal·lació de font feta amb tronc de fusta d'acàcia inspirada amb la natura i les seves formes. Inclou instal·lació de pericó prefabricat de poliopropile  de 300x300x300 registrable amb tapa cega de pvc reforçada i col·locada. Inclou connexió  a l'escomesa de max. 3m.</t>
  </si>
  <si>
    <t xml:space="preserve">.mides: 26x26x110 cm</t>
  </si>
  <si>
    <t xml:space="preserve">canal tronc</t>
  </si>
  <si>
    <t xml:space="preserve">Canal de tronc</t>
  </si>
  <si>
    <t xml:space="preserve">Subministrament i instal·lació de troncs de fusta d'acàcia en forma de canal per a circuit d'aigua. </t>
  </si>
  <si>
    <t xml:space="preserve">.mides: 1 canal de 140cm</t>
  </si>
  <si>
    <t xml:space="preserve">circuit aigua</t>
  </si>
  <si>
    <t xml:space="preserve">Circuit d'aigua</t>
  </si>
  <si>
    <t xml:space="preserve">Subministrament i instal·lació de circuit d'aigua per a exterior format per un conjunt de troncs de fusta d'acàcia i una plataforma de taulell de carrosser. </t>
  </si>
  <si>
    <t xml:space="preserve">.mides: 3 canals de 140cm i 1 plataforma</t>
  </si>
  <si>
    <t xml:space="preserve">circuit aigua 2 plataformes</t>
  </si>
  <si>
    <t xml:space="preserve">Subministrament i instal·lació de circuit d'aigua per a exterior format per un conjunt de troncs de fusta d'acàcia i dues plataformes de taulell de carrosser. </t>
  </si>
  <si>
    <t xml:space="preserve">.mides: 3 canals de 140cm i 2 plataforma</t>
  </si>
  <si>
    <t xml:space="preserve">OMBRES</t>
  </si>
  <si>
    <t xml:space="preserve">ombrejador 3x4</t>
  </si>
  <si>
    <t xml:space="preserve">Ombrejador</t>
  </si>
  <si>
    <t xml:space="preserve">Subministrament i instal.lació d'ombrejador de tela perforada.</t>
  </si>
  <si>
    <t xml:space="preserve">.mides: 300x400cm (tela)</t>
  </si>
  <si>
    <t xml:space="preserve">ombrejador</t>
  </si>
  <si>
    <t xml:space="preserve">Subministrament i instal.lació d'estructura de quatre pilars de fusta amb ombrejador de tela perforada.</t>
  </si>
  <si>
    <t xml:space="preserve">ombrejador paret</t>
  </si>
  <si>
    <t xml:space="preserve">Ombrejador a paret</t>
  </si>
  <si>
    <t xml:space="preserve">Subministrament i instal.lació d'estructura de 2 pilars de fusta amb ombrejador de tela perforada ancorat a paret. Inclou elements de fixació.</t>
  </si>
  <si>
    <t xml:space="preserve">(16ml*58+40ferratge+92€ muntatge+130 lloguer furgo)*1,2</t>
  </si>
  <si>
    <t xml:space="preserve">pèrgola de fusta</t>
  </si>
  <si>
    <t xml:space="preserve">Pèrgola amb estructura i rastrells de fusta</t>
  </si>
  <si>
    <t xml:space="preserve">Execució de pèrgola formada per muntants de bigues de fusta de secció quadrada 15x15cm, i formant voladís,  disposats cada 1,20m i ancorats al terra i al mur amb platines metàl.liques. Es disposen rastrells de fusta longitudinals de secció rectangular 7x10cm fixats a les bigues de fusta i separats entre si 15cm. La fusta de pi serà  tractada a l'autoclau amb acabat exterior d'oli biològic.</t>
  </si>
  <si>
    <t xml:space="preserve">. Segons disseny </t>
  </si>
  <si>
    <t xml:space="preserve">pèrgola urbadis</t>
  </si>
  <si>
    <t xml:space="preserve">Pèrgola metàl.lica amb llistons de fusta</t>
  </si>
  <si>
    <t xml:space="preserve">Subministrament i col.locació de pèrgola modular prefabricada formada per estructura autoportant de perfils d'acer galvanitzat de secció circular, i llistons de fusta de pi tractada a autoclau.</t>
  </si>
  <si>
    <t xml:space="preserve">.Mides : alçada 250cm </t>
  </si>
  <si>
    <t xml:space="preserve">INCLOU  ANCLATGE PILAR EN T</t>
  </si>
  <si>
    <t xml:space="preserve">pèrgola FUSTA TOKYO</t>
  </si>
  <si>
    <t xml:space="preserve">Pèrgola de pilars i llistons de fusta</t>
  </si>
  <si>
    <t xml:space="preserve">Subministrament i col.locació de pèrgola de 6x6x2,7m, autoportant de fusta d'avet laminat tractat, de classe GL 24h, formada per estructura de 6 pilars de fusta de 20x10cm de secció rectangular, vigues de 16x8cm i  viguetes de 12x6cm col.locades cada 50cm. Inclou pletines metàl.liques en T d'ancoratge de pilar a fonamentació.  </t>
  </si>
  <si>
    <t xml:space="preserve">.Mides : 6x6mx2,4-3m</t>
  </si>
  <si>
    <t xml:space="preserve">sabata pèrgola</t>
  </si>
  <si>
    <t xml:space="preserve">Fonamentació pèrgola </t>
  </si>
  <si>
    <t xml:space="preserve">Execució de sabata de formigó en massa HM-20/B/20/X0 per a fonamentació dels pilars de l'estructura de la pèrgola sobre llit de grava Ø 40-60mm, e: 10cm</t>
  </si>
  <si>
    <t xml:space="preserve">.Mides: 80x80x80cm</t>
  </si>
  <si>
    <t xml:space="preserve">ROCAFONDA MATARÓ</t>
  </si>
  <si>
    <t xml:space="preserve">panell entramat fusta façana</t>
  </si>
  <si>
    <t xml:space="preserve">Entramat de fusta per a façana</t>
  </si>
  <si>
    <t xml:space="preserve">Subministrament i col.locació de mòdul de pèrgola de fusta de 300x200cm format per un allistonat de fusta de pi de flandes tractat de 44x93mm disposats horitzontalment  i acargolats a rastrells de fusta de 44x93mm. Inclou el muntatge i fixació del mòdul a estructura existent amb tots els elements necessaris. </t>
  </si>
  <si>
    <t xml:space="preserve">.Mides : 200x300cm</t>
  </si>
  <si>
    <t xml:space="preserve">.segons disseny</t>
  </si>
  <si>
    <t xml:space="preserve">(fusta: 54ml*3,27€ llistons)+(16h*32€/h muntatge taller + col·locació)*1,4 benefici</t>
  </si>
  <si>
    <t xml:space="preserve">panell entramat fusta pèrgola</t>
  </si>
  <si>
    <t xml:space="preserve">Entramat de fusta per a pèrgola</t>
  </si>
  <si>
    <t xml:space="preserve">Subministrament i col.locació de mòdul de pèrgola de fusta de 300x300cm format per un allistonat de fusta de pi de flandes tractat de 44x93mm disposats verticalment  i acargolats a rastrells de fusta de 44x93mm. Inclou el muntatge i fixació del mòdul a estructura metàl·lica amb tots els elements necessaris. </t>
  </si>
  <si>
    <t xml:space="preserve">.Mides : 300x300cm</t>
  </si>
  <si>
    <t xml:space="preserve">(fusta: 86ml*3,27€ llistons)+(16h*32€/h muntatge taller + col·locació)*1,4 benefici</t>
  </si>
  <si>
    <t xml:space="preserve">MÒDUL 160</t>
  </si>
  <si>
    <t xml:space="preserve">pilar de fusta sobre base de formigó circular</t>
  </si>
  <si>
    <t xml:space="preserve">Modul 160: pilar de fusta sobre base de formigó circular</t>
  </si>
  <si>
    <r>
      <rPr>
        <sz val="13"/>
        <color rgb="FF000000"/>
        <rFont val="Arial"/>
        <family val="2"/>
        <charset val="1"/>
      </rPr>
      <t xml:space="preserve">Subministrament i col.locaci</t>
    </r>
    <r>
      <rPr>
        <sz val="13"/>
        <rFont val="Arial"/>
        <family val="2"/>
        <charset val="1"/>
      </rPr>
      <t xml:space="preserve">ó de pilar de fusta </t>
    </r>
    <r>
      <rPr>
        <sz val="13"/>
        <color rgb="FF000000"/>
        <rFont val="Arial"/>
        <family val="2"/>
        <charset val="1"/>
      </rPr>
      <t xml:space="preserve">laminada de pi tractada, de secció quadrat de 12x12x300cm sobre peu circular de formigó prefabricat, de diàmetre 58cm i pes 50kg. Inclou ancoratge de pilar a peu de formigó amb peça de suport de pilar regulable, fins a una altura regulable de 250mm, galvanitzada, per cargolar, i formada per dos plaques base de 80x80x4,2mm amb rosca de M24mm. Inclou cargols per muntatge.</t>
    </r>
  </si>
  <si>
    <t xml:space="preserve">.Mides : alçada 300cm </t>
  </si>
  <si>
    <t xml:space="preserve">parella</t>
  </si>
  <si>
    <t xml:space="preserve">entramat de fusta pèrgola</t>
  </si>
  <si>
    <t xml:space="preserve">Modul 160: entramat de fusta per a pèrgola</t>
  </si>
  <si>
    <t xml:space="preserve">Subministrament i col.locació de mòdul de pèrgola de fusta de 160x160cm format per un allistonat de fusta de 44x69mm disposats verticalment  i acargolats a rastrells de fusta de 44x93mm. Inclou el muntatge i fixació del mòdul als pilars amb tots els elements necessaris.</t>
  </si>
  <si>
    <t xml:space="preserve">.Mides : 160x136cm</t>
  </si>
  <si>
    <t xml:space="preserve">entramat de fusta paviment</t>
  </si>
  <si>
    <t xml:space="preserve">Modul 160: entramat de fusta per a tarima</t>
  </si>
  <si>
    <t xml:space="preserve">Subministrament i col.locació de mòdul d'entramat de fusta per a tarima de 160x160cm, format per un allistonat de fusta de 96x22mm acargolats a rastrells de fusta de 44x69mm i fixats a pilar amb una base de llistons de fusta de 44x93mm.  Inclou el muntatge i fixació del mòdul als pilars amb tots els elements necessaris.</t>
  </si>
  <si>
    <t xml:space="preserve">entramat de fusta taula i banc</t>
  </si>
  <si>
    <t xml:space="preserve">Modul 160: entramat de fusta per a 2 bancs i taula</t>
  </si>
  <si>
    <t xml:space="preserve">Subministrament i col.locació de mòdul de taula amb 2 bancs de 160x160cm format per llistons de fusta de 115x45mm acargolats sobre llistons de fusta de 44x93mm. Inclou el muntatge i fixació del mòdul als pilars amb tots els elements necessaris.</t>
  </si>
  <si>
    <t xml:space="preserve">façana mòdul</t>
  </si>
  <si>
    <t xml:space="preserve">Modul 160: entramat de fusta per a façana</t>
  </si>
  <si>
    <t xml:space="preserve">Subministrament i col.locació de mòdul d'entramat de fusta per a façana de 160x160cm, format per un allistonat de fusta de 96x18mm acargolats a rastrells de fusta de 44x69mm i fixats a pilar amb una base de llistons de fusta de 44x93mm.  Inclou el muntatge i fixació del mòdul als pilars amb tots els elements necessaris.</t>
  </si>
  <si>
    <t xml:space="preserve">rampa mòdul</t>
  </si>
  <si>
    <t xml:space="preserve">Modul 160: entramat de fusta per a rampa amb paparres</t>
  </si>
  <si>
    <t xml:space="preserve">Subministrament i col.locació de mòdul d'entramat de fusta per a rampa de 136x136cm, format per un allistonat de fusta de 96x22mm acargolats a rastrells de fusta de 44x69mm i fixats a pilar amb una base de llistons de fusta de 44x93mm.  Inclou la fixació de paparres de rocòdrom 12u. Inclou el muntatge i fixació del mòdul als pilars amb tots els elements necessaris.</t>
  </si>
  <si>
    <t xml:space="preserve">.Mides : 136x136cm</t>
  </si>
  <si>
    <t xml:space="preserve">carrosser mòdul</t>
  </si>
  <si>
    <t xml:space="preserve">Modul 160: triangulació amb panell fenòlic</t>
  </si>
  <si>
    <t xml:space="preserve">Subministrament i col.locació de mòdul de triangulació format per panell fenòlic (WBP) de mides 160x50xcm i Gruix 18mm. Inclou muntatge i fixació del mòdul als pilars amb tots els elements necessaris.</t>
  </si>
  <si>
    <t xml:space="preserve">.Mides:  160x50cm</t>
  </si>
  <si>
    <t xml:space="preserve">preu/ML</t>
  </si>
  <si>
    <t xml:space="preserve">MIDES</t>
  </si>
  <si>
    <t xml:space="preserve">F1 llistó fusta 93x44</t>
  </si>
  <si>
    <t xml:space="preserve">F2 llistó fusta 69x44</t>
  </si>
  <si>
    <t xml:space="preserve">F3 llistó fusta 96x22</t>
  </si>
  <si>
    <t xml:space="preserve">F4 llistó fusta 115X45</t>
  </si>
  <si>
    <t xml:space="preserve">F5 carrosser</t>
  </si>
  <si>
    <t xml:space="preserve">JARDINERES</t>
  </si>
  <si>
    <t xml:space="preserve">jardinera acàcia gran</t>
  </si>
  <si>
    <t xml:space="preserve">Jardinera gran de fusta d'acàcia</t>
  </si>
  <si>
    <t xml:space="preserve">Subministrament i instal·lació de jardinera de fusta d'acàcia  col·locada horitzontalment sobre el terreny.</t>
  </si>
  <si>
    <t xml:space="preserve">.mides: 120x40 36 cm</t>
  </si>
  <si>
    <t xml:space="preserve">jardinera acàcia petita</t>
  </si>
  <si>
    <t xml:space="preserve">Jardinera petita de fusta d'acàcia</t>
  </si>
  <si>
    <t xml:space="preserve">.mides: 75x25x30 cm</t>
  </si>
  <si>
    <t xml:space="preserve">jardinera travessa150</t>
  </si>
  <si>
    <t xml:space="preserve">Jardinera gran amb travesses de fusta de pi tractades per exterior sobre paviment</t>
  </si>
  <si>
    <t xml:space="preserve">Subministrament i instal·lació de jardinera de travessa de pi amb els cantos fresats, amb tractament autoclau amb cobertura  d'ús 4 segons norma EN-335 de 250x20x10 cm, col·locada horitzontalment sobre el paviment. Inclou p/p de geotextil, selecció i tall de travesses.</t>
  </si>
  <si>
    <t xml:space="preserve">.mides: 210x60x40cm</t>
  </si>
  <si>
    <t xml:space="preserve">jardinera travessa hort</t>
  </si>
  <si>
    <t xml:space="preserve">Jardinera quadrada amb travesses de fusta de pi tractades per exterior sobre paviment</t>
  </si>
  <si>
    <t xml:space="preserve">Subministrament i instal·lació de jardinera de travessa de pi amb els cantos fresats, amb tractament autoclau amb cobertura  d'us 4 segons norma EN-335 de 250x20x10 cm, col·locada horitzontalment sobre el paviment. Inclou p/p de geotextil, selecció i tall de travesses.</t>
  </si>
  <si>
    <t xml:space="preserve">.mides: 135x135x40cm</t>
  </si>
  <si>
    <t xml:space="preserve">jardinera travessa arbre</t>
  </si>
  <si>
    <t xml:space="preserve">Jardinera per arbre amb travesses de fusta de pi tractades per exterior sobre paviment</t>
  </si>
  <si>
    <t xml:space="preserve">.mides: 136x136x80</t>
  </si>
  <si>
    <t xml:space="preserve">jardinera travessa</t>
  </si>
  <si>
    <t xml:space="preserve">Jardinera amb travesses de fusta de pi tractades per exterior sobre paviment</t>
  </si>
  <si>
    <t xml:space="preserve">Subministrament i instal·lació de jardinera de travessa de pi amb els cantos fresats, amb tractament autoclau amb cobertura  d'us 4 segons norma EN-335 de 250x20x10 cm, col·locada horitzontalment sobre el paviment. Inclou làmina drenant de protecció interior, selecció i tall de travesses.</t>
  </si>
  <si>
    <t xml:space="preserve">. A mida</t>
  </si>
  <si>
    <t xml:space="preserve">SERRALLERIA - MOBILIARI</t>
  </si>
  <si>
    <t xml:space="preserve">ajuda serralleria</t>
  </si>
  <si>
    <t xml:space="preserve">Modificació serralleria existent</t>
  </si>
  <si>
    <t xml:space="preserve">Jornada d'oficial de manyà.</t>
  </si>
  <si>
    <t xml:space="preserve">soldador</t>
  </si>
  <si>
    <t xml:space="preserve">Jornada soldador</t>
  </si>
  <si>
    <t xml:space="preserve">Jornada de manobra de soldado certificat.</t>
  </si>
  <si>
    <t xml:space="preserve">barana rodons pi</t>
  </si>
  <si>
    <t xml:space="preserve">Barana de rodons de pi verticals </t>
  </si>
  <si>
    <t xml:space="preserve">Formació de barana a base de rodons de fusta de pi tractat amb autoclau de 8cm de diàmetre per a deixar a 80cm d'alt acabat i amb una separació de 9cm entre ells. Fixats a una base de travessa de pi.
</t>
  </si>
  <si>
    <t xml:space="preserve">.mides: m</t>
  </si>
  <si>
    <t xml:space="preserve">barana rodons pi i corda</t>
  </si>
  <si>
    <t xml:space="preserve">Barana de rodons de pi verticals i corda</t>
  </si>
  <si>
    <t xml:space="preserve">Formació de barana a base de rodons de fusta de pi tractat amb autoclau de 8cm de diàmetre de  80cm d'alt acabat i amb una separació de corda de 125cm entre rodons. Fixats a una base de travessa de pi.
</t>
  </si>
  <si>
    <t xml:space="preserve">barana muntants pi i corda a paret</t>
  </si>
  <si>
    <t xml:space="preserve">Barana de muntants verticals de pi verticals i corda fixats a paret</t>
  </si>
  <si>
    <t xml:space="preserve">Formació de barana a base de muntants de fusta de pi tractat amb autoclau de secció quadrada 7x7cm, de  100cm d'alt acabat i amb una separació de corda de 125cm entre muntants. Inclou les fixacions metàl.liques per fixar a la paret.
</t>
  </si>
  <si>
    <t xml:space="preserve">barana d'acer</t>
  </si>
  <si>
    <t xml:space="preserve">Barana de muntants verticals d'acer galvanitzat.</t>
  </si>
  <si>
    <t xml:space="preserve">Barana d'acer galvanitzat en forma recta, de 110 cm d'altura, formada per: bastidor compost de barana superior i inferior de platina de perfil massís d'acer laminat en calent de 60x6 mm i muntants de de platina de perfil massís d'acer laminat en calent de 60x6 mm amb una separació de 10cm entre si. Peus cada 100cm fixats mitjançant ancoratge mecànic d'expansió.
</t>
  </si>
  <si>
    <t xml:space="preserve">porta emmental</t>
  </si>
  <si>
    <t xml:space="preserve">Porta de separació </t>
  </si>
  <si>
    <t xml:space="preserve">Subministrament i col.locació de porta batent de panel fenòlic (WBP) de mides 60x67cm i Gruix 18mm, amb forats decoratius fixada a 2 muntants laterals de fusta de pi tractat amb autoclau de secció quadrada 7x7cm, de  65cm d'alt acabat i 85cm de separació entre muntants. Inclou les fixacions metàl.liques i muntatge.</t>
  </si>
  <si>
    <t xml:space="preserve">coberta sandvitx</t>
  </si>
  <si>
    <t xml:space="preserve">Coberta sandwitx</t>
  </si>
  <si>
    <t xml:space="preserve">Coberta amb panell sandwitx de planxes d'acer amb aillament de poliuretà (PUR B2), reacció al foc BS2 d0, amb un gruix total de 120 mm, amb la cara exterior i la cara interior perfilada en lames, galvanitzat en calent i prelacat en ambdues cares, gruix de les planxes (ext/int) 0.5/0,5 mm, junt longitudinal encadellat, amb fixació oculta amb tapajunts. Inclou tapajunts i remats perimetrals, elements de carener i totes les trobades del panell amb altres elements. Tot complert i totalment acabat.</t>
  </si>
  <si>
    <t xml:space="preserve">canal pluvial</t>
  </si>
  <si>
    <t xml:space="preserve">Canal de recollida d'aigua</t>
  </si>
  <si>
    <t xml:space="preserve">Canal exterior de secció rectangular de planxa d'acer galvanitzat i prelacat de 0,5 mm de gruix, de 120x120 mm de secció interior, col·locada amb peces especials fixada a coberta lleugera i connectada al baixant.</t>
  </si>
  <si>
    <t xml:space="preserve">tanca metàl·lica perfils buits</t>
  </si>
  <si>
    <t xml:space="preserve">Mòdul de tanca metàl·lica de perfils buits</t>
  </si>
  <si>
    <t xml:space="preserve">Mòdul de clos metàl·lic,  format per perfils buits de secció circular, d'acer galvanitzat (Z 275), acabat lacat en color a definir per DF de 2 mm d'espessor, 60 mm de diàmetre i 2400 mm d'altura, amb una separació màxima de 80 mm entre els perfils, amb una pletina  metàl·lica horitzontal superior de 80x8mm i inferior de 100x8, fixada als perfils mitjançant soldadura. Peus d'anclatge de pletines fixats amb varil·les metàl·liques a solera de formigó existent. </t>
  </si>
  <si>
    <t xml:space="preserve">porta metàl·lica perfils buits</t>
  </si>
  <si>
    <t xml:space="preserve">Porta metàl·lica de perfils buits</t>
  </si>
  <si>
    <t xml:space="preserve">Porta de clos metàl·lic de fulla batent de dimensions 95x240cm, format per perfils buits de secció circular, d'acer galvanitzat (Z 275), acabat lacat en color a definir per DF de 2 mm d'espessor, 60 mm de diàmetre i 2400 mm d'altura, amb una separació màxima de 80 mm entre els perfils, amb una pletina  metàl·lica horitzontal superior de 80x8mm i inferior de 100x8, fixada als perfils mitjançant soldadura. Obertura manual. Muntants laterals de pletina en "U" d'acer galvanitzat de 100x100x8mm asseguts amb formigó HM-25/B/20/X0, armadura portant de la cancel·la i rebuts a obra, elements d'ancoratge, ferramentes de seguretat i tancament, acabat amb emprimació antioxidant i accessoris.</t>
  </si>
  <si>
    <t xml:space="preserve">acer kg bigues</t>
  </si>
  <si>
    <t xml:space="preserve">Acer en bigues</t>
  </si>
  <si>
    <t xml:space="preserve">kg</t>
  </si>
  <si>
    <t xml:space="preserve">Acer UNE-EN 10025 S275JR, en bigues formades por peces simples de perfils laminats en calent de les sèries IPN, IPE, HEB, HEA, HEM o UPN, acabat amb emprimació antioxidant, amb unions soldades en obra, a una altura de fins a 3 m.</t>
  </si>
  <si>
    <t xml:space="preserve">.Mides : segons disseny</t>
  </si>
  <si>
    <t xml:space="preserve">2,73 preu itec</t>
  </si>
  <si>
    <t xml:space="preserve">acer kg</t>
  </si>
  <si>
    <t xml:space="preserve">Acer en perfils laminats en calent</t>
  </si>
  <si>
    <t xml:space="preserve">Acer UNE-EN 10025 S275JR, en elements estructurals formats per peces simples de perfils laminats en calent de les sèries L, LD, T, rodó, quadrat, rectangular o platina, acabat amb emprimació antioxidant, col·locats amb unions cargolades en obra, a una altura de més de 3 m.</t>
  </si>
  <si>
    <t xml:space="preserve">tancament reixa</t>
  </si>
  <si>
    <t xml:space="preserve">Tanca de muntants verticals d'acer</t>
  </si>
  <si>
    <t xml:space="preserve">Barana d'acer galvanitzat en forma recta, de 200 cm d'altura, formada per: bastidor compost de barana superior i inferior de platina de perfil massís d'acer laminat en calent de 60x6 mm i muntants de de platina de perfil massís d'acer laminat en calent de 60x6 mm amb una separació de 10cm entre si. Peus cada 100cm fixats mitjançant ancoratge mecànic d'expansió.
</t>
  </si>
  <si>
    <t xml:space="preserve">porta metàl·lica</t>
  </si>
  <si>
    <t xml:space="preserve">Porta metàl·lica d'acer</t>
  </si>
  <si>
    <t xml:space="preserve">Porta d'acer galvanitzat en forma recta, de 200 cm d'altura, formada per: bastidor compost de barana superior i inferior de platina de perfil massís d'acer laminat en calent de 60x6 mm i muntants de de platina de perfil massís d'acer laminat en calent de 60x6 mm amb una separació de 10cm entre si. 
</t>
  </si>
  <si>
    <t xml:space="preserve">porta metàl·lica xapa</t>
  </si>
  <si>
    <t xml:space="preserve">Porta metàl·lica de xapa d'acer</t>
  </si>
  <si>
    <t xml:space="preserve">Porta d'acer galvanitzat en forma recta, de 90 cm d'altura, formada per: bastidor compost de barana superior i inferior de platina de perfil massís d'acer laminat en calent de 60x6 mm i i plafons de xapa metàl·lica perforada (igual o similar a la de la tanca metàl·lica existent). 
</t>
  </si>
  <si>
    <t xml:space="preserve">VEGETACIO I REG</t>
  </si>
  <si>
    <t xml:space="preserve">arbre petit</t>
  </si>
  <si>
    <t xml:space="preserve">Plantació d'arbre petit</t>
  </si>
  <si>
    <t xml:space="preserve">Subministrament i plantació d'arbre planifoli amb pa de terra o contenidor, de 14 a 16 cm de perímetre de tronc a 1,5 m d'alçària (a partir del coll de l'arrel), excavació de clot de plantació de 100x100x60 cm amb mitjans mecànics, en un pendent inferior al 25 %, reblert del clot amb terra de l'excavació barrejada amb un 10% de compost sobre llit de grava de 10cm i primer reg.  (el preu no inclou la terra vegetal ni la grava)                                                                </t>
  </si>
  <si>
    <t xml:space="preserve">Espècies escollides segons la regió i el sól on us trobeu. </t>
  </si>
  <si>
    <t xml:space="preserve">arbre gran</t>
  </si>
  <si>
    <t xml:space="preserve">Plantació d'arbres gran</t>
  </si>
  <si>
    <t xml:space="preserve">Subministrament i plantació d'arbre planifoli amb pa de terra o contenidor, de 18 a 20 cm de perímetre de tronc a 1,5 m d'alçària (a partir del coll de l'arrel), en clot de 100x100x60 cm en un pendent inferior al 25 %, reblert del clot amb terra vegetal. (el preu no inclou la terra vegetal)                                                        </t>
  </si>
  <si>
    <t xml:space="preserve">arbust mitjà</t>
  </si>
  <si>
    <t xml:space="preserve">Plantació d'arbust de port mitjà</t>
  </si>
  <si>
    <t xml:space="preserve">Subministrament i plantació d'arbust o arbre de petit format en contenidor de 3 a 5 l, excavació de clot de plantació de 30x30x30 cm amb mitjans manuals, en un pendent inferior al 35 %, reblert del clot amb terra de l'excavació barrejada amb un 10% de compost sobre llit de grava de 10cm i primer reg.    (el preu no inclou la terra vegetal ni la grava)                           </t>
  </si>
  <si>
    <t xml:space="preserve">Espècies escollides segons la regió i el sól on us trobeu.</t>
  </si>
  <si>
    <t xml:space="preserve">arbust petit</t>
  </si>
  <si>
    <t xml:space="preserve">Plantació d'arbust de port petit</t>
  </si>
  <si>
    <t xml:space="preserve">Subministrament i plantació d'arbust o arbre de petit format en contenidor d'1,5 a 3 l, excavació de clot de plantació de 25x25x25 cm amb mitjans manuals, en un pendent inferior al 35 %, reblert del clot amb terra de l'excavació barrejada amb un 10% de compost sobre llit de grava de 10cm i primer reg.   (el preu no inclou la terra vegetal ni la grava)                            </t>
  </si>
  <si>
    <t xml:space="preserve">enfiladissa</t>
  </si>
  <si>
    <t xml:space="preserve">Plantació d'enfiladissa de port mitjà</t>
  </si>
  <si>
    <t xml:space="preserve">Subministrament i plantació d'enfiladissa en contenidor de 3 a 5l, excavació de clot de plantació de 25x25x25 cm amb mitjans manuals, en un pendent inferior al 35 %, reblert del clot amb terra de l'excavació barrejada amb un 10% de compost sobre llit de grava de 10cm i primer reg.        (el preu no inclou la terra vegetal ni la grava)                       </t>
  </si>
  <si>
    <t xml:space="preserve">canonada aigua</t>
  </si>
  <si>
    <t xml:space="preserve">Tub PE 40 25mm</t>
  </si>
  <si>
    <t xml:space="preserve">Subministrament i instal.lació de tub de polietilè de designació PE 40, de 25 mm de diàmetre nominal, de 6 bar de pressió nominal, sèrie SDR 11, UNE-EN 12201-2, connectat a pressió, amb grau de dificultat mig, utilitzant accessoris de plàstic, i col·locat al fons de la rasa. Inclou excavació en terra d'argila semidura fins a 50cm de profunditat. Inclou reomplert amb graves. (no inlclou el subministrament de les graves)</t>
  </si>
  <si>
    <t xml:space="preserve">..</t>
  </si>
  <si>
    <t xml:space="preserve">gota gota</t>
  </si>
  <si>
    <t xml:space="preserve">Degoteig</t>
  </si>
  <si>
    <t xml:space="preserve">Subministrament, col.locació i soterrament de canonada per a reg per degoteig TECH-LINE o equivalent, amb degoters autocompensats integrats de 2,3 l/h a una distància de 30 cm, entre ells, de diàmetre 16 mm. Inclou accessoris i la fixació i soterrament a 10-15 cm. sota les geleves de gespa. Inclou exavació en terra d'argila semidura fins a 50cm de profunditat. Inclou reomplert amb graves envoltades amb làmina drenant.</t>
  </si>
  <si>
    <t xml:space="preserve">arqueta</t>
  </si>
  <si>
    <t xml:space="preserve">Arqueta</t>
  </si>
  <si>
    <t xml:space="preserve">Subministrament i instal·lació d'arqueta negra rectangualar amb tapa verda i cargol. L50,5 x An37 x Al30,5.</t>
  </si>
  <si>
    <t xml:space="preserve">programador</t>
  </si>
  <si>
    <t xml:space="preserve">Programador</t>
  </si>
  <si>
    <t xml:space="preserve">Subministrament i instal.lació dins d'arqueta de programador de reg Rain Bird wpx dvf kit o equivalent. Alimentació autononma de 9V DC i 1 estació de sortida, inclòs connexió i programat.</t>
  </si>
  <si>
    <t xml:space="preserve">filtre</t>
  </si>
  <si>
    <t xml:space="preserve">Filtre</t>
  </si>
  <si>
    <t xml:space="preserve">Subministrament i instal·lació dins arqueta de filtre regulador de presó de 3/4" RBY. Presió de sortida 2,0 bars i malla de 75 micres. Model PRF075RBY de Rain Brid o equivalent.</t>
  </si>
  <si>
    <t xml:space="preserve">ouera</t>
  </si>
  <si>
    <t xml:space="preserve">Làmina de drenatge tipus ouera</t>
  </si>
  <si>
    <t xml:space="preserve">Subministrament i instal.lació de làmina de derenatge i retenció d'aigua resistent a la pressió fabricada amb poliolefina reciclada amb perforacions a la part superior.</t>
  </si>
  <si>
    <t xml:space="preserve">geotèxtil orgànic</t>
  </si>
  <si>
    <t xml:space="preserve">Manta orgànica biodegradable</t>
  </si>
  <si>
    <t xml:space="preserve">Manta orgànica biodegradable elaborada amb fibres naturals de coco 100%. </t>
  </si>
  <si>
    <t xml:space="preserve">CRITERIS AMIDAMENTS</t>
  </si>
  <si>
    <t xml:space="preserve">POU DE DRENATGE</t>
  </si>
  <si>
    <t xml:space="preserve">EN COMPTEM 1 MÍN, I S'AFEGEIX A PARTIDA DE RESIDUS</t>
  </si>
  <si>
    <t xml:space="preserve">GRUIXOS </t>
  </si>
  <si>
    <t xml:space="preserve">AMB LÍMIT TRAVESSA + TRONC: 20cm (grava/sorra)</t>
  </si>
  <si>
    <t xml:space="preserve">PLANTES</t>
  </si>
  <si>
    <t xml:space="preserve">VA RELACIONAT AMB la PARTIDA DE TERRES VEGETALS</t>
  </si>
  <si>
    <t xml:space="preserve">si és jardinera NO JUGBABLE:  port mitjà 4u/M2 i port petit 3u/m2</t>
  </si>
  <si>
    <t xml:space="preserve">si és jardinera JUGABLE abaixem les u/m2</t>
  </si>
  <si>
    <t xml:space="preserve">GRAVA REG</t>
  </si>
  <si>
    <t xml:space="preserve">AFEGIM GRAVA  RELACIONAT AMB TUB DE REG, I H. 0,05CM</t>
  </si>
  <si>
    <t xml:space="preserve">OUERA</t>
  </si>
  <si>
    <t xml:space="preserve">AFEGIM OUERA PER JARDINERES I CONTRA MUR</t>
  </si>
  <si>
    <t xml:space="preserve">CUB TRAVESSA</t>
  </si>
  <si>
    <t xml:space="preserve">0,83X8u=6,64m S'HA DE COMPTAR 3 TRAVESSES 7,5ml </t>
  </si>
  <si>
    <t xml:space="preserve">CUB LLARG TRAVESSA</t>
  </si>
  <si>
    <t xml:space="preserve">4,95 ARRODONI R A 5</t>
  </si>
  <si>
    <t xml:space="preserve">TARIMES FUSTA</t>
  </si>
  <si>
    <t xml:space="preserve">CALCULEM H EN M2</t>
  </si>
  <si>
    <t xml:space="preserve">CALCULEM V EN M2</t>
  </si>
  <si>
    <t xml:space="preserve">Ø</t>
  </si>
  <si>
    <t xml:space="preserve">per definir</t>
  </si>
  <si>
    <t xml:space="preserve">com calculem superfície tarimes? I estructura base</t>
  </si>
  <si>
    <t xml:space="preserve">repicat manual de paviment</t>
  </si>
  <si>
    <t xml:space="preserve">tanca nova metàlica</t>
  </si>
  <si>
    <t xml:space="preserve">pous de drenatge. Quan? A tots els patis?</t>
  </si>
  <si>
    <t xml:space="preserve">plantes per m2 quantes?</t>
  </si>
  <si>
    <t xml:space="preserve">grava? Cal?</t>
  </si>
  <si>
    <t xml:space="preserve">big bag o m3 el saulo etc..</t>
  </si>
  <si>
    <t xml:space="preserve">castell</t>
  </si>
  <si>
    <t xml:space="preserve">castell façana</t>
  </si>
  <si>
    <t xml:space="preserve">ouera per jardineres</t>
  </si>
  <si>
    <t xml:space="preserve">LOCALIDAD</t>
  </si>
  <si>
    <t xml:space="preserve">Barcelona, </t>
  </si>
  <si>
    <t xml:space="preserve">FECHA</t>
  </si>
  <si>
    <t xml:space="preserve">VALORACIÓ ECONÒMICA</t>
  </si>
  <si>
    <r>
      <rPr>
        <sz val="9"/>
        <rFont val="Swiss 721 Light Condensed BT"/>
        <family val="0"/>
        <charset val="1"/>
      </rPr>
      <t xml:space="preserve">AVANTPROJECTE:</t>
    </r>
    <r>
      <rPr>
        <b val="true"/>
        <sz val="9"/>
        <rFont val="Swiss 721 Light Condensed BT"/>
        <family val="0"/>
        <charset val="1"/>
      </rPr>
      <t xml:space="preserve"> TRANSFORMACIÓ DELS ESPAIS EXTERIORS DE L’ESCOLA BRESSOL MUNICIPAL DE ROCAFONDA</t>
    </r>
  </si>
  <si>
    <t xml:space="preserve">MATARÓ</t>
  </si>
  <si>
    <t xml:space="preserve">TRANSFORMACIÓ DELS ESPAIS EXTERIORS DE L’ESCOLA BRESSOL MUNICIPAL DE ROCAFONDA</t>
  </si>
  <si>
    <t xml:space="preserve">client</t>
  </si>
  <si>
    <t xml:space="preserve">Nom:</t>
  </si>
  <si>
    <t xml:space="preserve">CIF:</t>
  </si>
  <si>
    <t xml:space="preserve">,,,</t>
  </si>
  <si>
    <t xml:space="preserve">Tel.</t>
  </si>
  <si>
    <t xml:space="preserve">Direcció:</t>
  </si>
  <si>
    <t xml:space="preserve">Població:</t>
  </si>
  <si>
    <t xml:space="preserve">PROVINCIA</t>
  </si>
  <si>
    <t xml:space="preserve">Pers. Contacte:</t>
  </si>
  <si>
    <t xml:space="preserve">trabajos que conciernen</t>
  </si>
  <si>
    <t xml:space="preserve">PATI</t>
  </si>
  <si>
    <t xml:space="preserve">QUADRE DE PREUS 1</t>
  </si>
  <si>
    <t xml:space="preserve">CODI BASE DADES</t>
  </si>
  <si>
    <t xml:space="preserve">Ref.</t>
  </si>
  <si>
    <t xml:space="preserve">Un</t>
  </si>
  <si>
    <t xml:space="preserve">Descripció</t>
  </si>
  <si>
    <t xml:space="preserve">Quant.</t>
  </si>
  <si>
    <r>
      <rPr>
        <sz val="9"/>
        <rFont val="Swis721 LtCn BT"/>
        <family val="2"/>
        <charset val="1"/>
      </rPr>
      <t xml:space="preserve">€</t>
    </r>
    <r>
      <rPr>
        <i val="true"/>
        <sz val="9"/>
        <rFont val="Swis721 LtCn BT"/>
        <family val="2"/>
        <charset val="1"/>
      </rPr>
      <t xml:space="preserve"> un.</t>
    </r>
  </si>
  <si>
    <t xml:space="preserve">IMPORT TOTAL (PEM)</t>
  </si>
  <si>
    <t xml:space="preserve">1. FEINES PRÈVIES</t>
  </si>
  <si>
    <t xml:space="preserve">1.1</t>
  </si>
  <si>
    <t xml:space="preserve">.corralets</t>
  </si>
  <si>
    <t xml:space="preserve">1.2</t>
  </si>
  <si>
    <t xml:space="preserve">.jocs</t>
  </si>
  <si>
    <t xml:space="preserve">1.3</t>
  </si>
  <si>
    <t xml:space="preserve">.bancs</t>
  </si>
  <si>
    <t xml:space="preserve">1.4</t>
  </si>
  <si>
    <t xml:space="preserve">.fonamentació bancs i jocs</t>
  </si>
  <si>
    <t xml:space="preserve">1.5</t>
  </si>
  <si>
    <t xml:space="preserve">.sorral</t>
  </si>
  <si>
    <t xml:space="preserve">1.6</t>
  </si>
  <si>
    <t xml:space="preserve">.caseta</t>
  </si>
  <si>
    <t xml:space="preserve">1.7</t>
  </si>
  <si>
    <t xml:space="preserve">.sorral petit</t>
  </si>
  <si>
    <t xml:space="preserve">.sorral gran</t>
  </si>
  <si>
    <t xml:space="preserve">.equilibri</t>
  </si>
  <si>
    <t xml:space="preserve">.tarimes</t>
  </si>
  <si>
    <t xml:space="preserve">.rases d'instal·lacions</t>
  </si>
  <si>
    <t xml:space="preserve">1.9</t>
  </si>
  <si>
    <t xml:space="preserve">1.10</t>
  </si>
  <si>
    <t xml:space="preserve">segons transport</t>
  </si>
  <si>
    <t xml:space="preserve">2. PATI</t>
  </si>
  <si>
    <t xml:space="preserve">2.1</t>
  </si>
  <si>
    <t xml:space="preserve">2.2</t>
  </si>
  <si>
    <t xml:space="preserve">.zona 1</t>
  </si>
  <si>
    <t xml:space="preserve">.zona 2</t>
  </si>
  <si>
    <t xml:space="preserve">.zona 3</t>
  </si>
  <si>
    <t xml:space="preserve">2.3</t>
  </si>
  <si>
    <t xml:space="preserve">2.4</t>
  </si>
  <si>
    <t xml:space="preserve">. Entorn placeta</t>
  </si>
  <si>
    <t xml:space="preserve">.entorn sorral</t>
  </si>
  <si>
    <t xml:space="preserve">.turó</t>
  </si>
  <si>
    <t xml:space="preserve">2.5</t>
  </si>
  <si>
    <t xml:space="preserve">.jardinera entrada</t>
  </si>
  <si>
    <t xml:space="preserve">.jardinera sorral petit</t>
  </si>
  <si>
    <t xml:space="preserve">.canviador</t>
  </si>
  <si>
    <t xml:space="preserve">.cubs sorral petit</t>
  </si>
  <si>
    <t xml:space="preserve">.segona jardinera</t>
  </si>
  <si>
    <t xml:space="preserve">.cubs</t>
  </si>
  <si>
    <t xml:space="preserve">.canvaidor central</t>
  </si>
  <si>
    <t xml:space="preserve">.perimetre tarima central</t>
  </si>
  <si>
    <t xml:space="preserve">tercera jardinera</t>
  </si>
  <si>
    <t xml:space="preserve">.limits</t>
  </si>
  <si>
    <t xml:space="preserve">.canvaidor</t>
  </si>
  <si>
    <t xml:space="preserve">.perimetre tarima</t>
  </si>
  <si>
    <t xml:space="preserve">.jadinera final</t>
  </si>
  <si>
    <t xml:space="preserve">.banc final</t>
  </si>
  <si>
    <t xml:space="preserve">.agora</t>
  </si>
  <si>
    <t xml:space="preserve">.limits centrals</t>
  </si>
  <si>
    <t xml:space="preserve">.jardineres tanca</t>
  </si>
  <si>
    <t xml:space="preserve">2.6</t>
  </si>
  <si>
    <t xml:space="preserve">.separacions</t>
  </si>
  <si>
    <t xml:space="preserve">tronc escala</t>
  </si>
  <si>
    <t xml:space="preserve">2.7</t>
  </si>
  <si>
    <t xml:space="preserve">2.8</t>
  </si>
  <si>
    <t xml:space="preserve">2.9</t>
  </si>
  <si>
    <t xml:space="preserve">.perímetres i turó</t>
  </si>
  <si>
    <t xml:space="preserve">2.10</t>
  </si>
  <si>
    <t xml:space="preserve">2.11</t>
  </si>
  <si>
    <t xml:space="preserve">2.12</t>
  </si>
  <si>
    <t xml:space="preserve">2.13</t>
  </si>
  <si>
    <t xml:space="preserve">.acabat</t>
  </si>
  <si>
    <t xml:space="preserve">2.14</t>
  </si>
  <si>
    <t xml:space="preserve">2.15</t>
  </si>
  <si>
    <t xml:space="preserve">2.17</t>
  </si>
  <si>
    <t xml:space="preserve">2.18</t>
  </si>
  <si>
    <t xml:space="preserve">.zona d'equilitbri</t>
  </si>
  <si>
    <t xml:space="preserve">2.20</t>
  </si>
  <si>
    <t xml:space="preserve">2.21</t>
  </si>
  <si>
    <t xml:space="preserve">2.22</t>
  </si>
  <si>
    <t xml:space="preserve">2.23</t>
  </si>
  <si>
    <t xml:space="preserve">.solts</t>
  </si>
  <si>
    <t xml:space="preserve">.perimetres</t>
  </si>
  <si>
    <t xml:space="preserve">2.24</t>
  </si>
  <si>
    <t xml:space="preserve">.perimetre sorral</t>
  </si>
  <si>
    <t xml:space="preserve">2.25</t>
  </si>
  <si>
    <t xml:space="preserve">2.26</t>
  </si>
  <si>
    <t xml:space="preserve">2.27</t>
  </si>
  <si>
    <t xml:space="preserve">.palafit</t>
  </si>
  <si>
    <t xml:space="preserve">2.28</t>
  </si>
  <si>
    <t xml:space="preserve">2.29</t>
  </si>
  <si>
    <t xml:space="preserve">2.30</t>
  </si>
  <si>
    <t xml:space="preserve">2.31</t>
  </si>
  <si>
    <t xml:space="preserve">2.32</t>
  </si>
  <si>
    <t xml:space="preserve">2.33</t>
  </si>
  <si>
    <t xml:space="preserve">2.34</t>
  </si>
  <si>
    <t xml:space="preserve">2.35</t>
  </si>
  <si>
    <t xml:space="preserve">2.36</t>
  </si>
  <si>
    <t xml:space="preserve">3. VEGETACIÓ I REG</t>
  </si>
  <si>
    <t xml:space="preserve">3.1</t>
  </si>
  <si>
    <t xml:space="preserve">.jardineres passadís</t>
  </si>
  <si>
    <t xml:space="preserve">.ajardinament perímetre</t>
  </si>
  <si>
    <t xml:space="preserve">.arbres</t>
  </si>
  <si>
    <t xml:space="preserve">3.2</t>
  </si>
  <si>
    <t xml:space="preserve">3.3</t>
  </si>
  <si>
    <t xml:space="preserve">3.4</t>
  </si>
  <si>
    <t xml:space="preserve">.jardineres</t>
  </si>
  <si>
    <t xml:space="preserve">3.5</t>
  </si>
  <si>
    <t xml:space="preserve">3.6</t>
  </si>
  <si>
    <t xml:space="preserve">.tanca perimetral</t>
  </si>
  <si>
    <t xml:space="preserve">3.7</t>
  </si>
  <si>
    <t xml:space="preserve">3.8</t>
  </si>
  <si>
    <t xml:space="preserve">UMBRACLE</t>
  </si>
  <si>
    <t xml:space="preserve">1. UMBRACLES</t>
  </si>
  <si>
    <t xml:space="preserve">.L150,10</t>
  </si>
  <si>
    <t xml:space="preserve">.pletines e10</t>
  </si>
  <si>
    <t xml:space="preserve">.pletines</t>
  </si>
  <si>
    <t xml:space="preserve">.panells verticals</t>
  </si>
  <si>
    <t xml:space="preserve">.panells horitzontals</t>
  </si>
  <si>
    <t xml:space="preserve">ACCÉS</t>
  </si>
  <si>
    <t xml:space="preserve">1. ACCÉS</t>
  </si>
  <si>
    <t xml:space="preserve">.porta d'accés actual</t>
  </si>
  <si>
    <t xml:space="preserve">.magatzem coxets</t>
  </si>
  <si>
    <t xml:space="preserve">.fonaments</t>
  </si>
  <si>
    <t xml:space="preserve">1.8</t>
  </si>
  <si>
    <t xml:space="preserve">.sabata mur</t>
  </si>
  <si>
    <t xml:space="preserve">.pilar coberta</t>
  </si>
  <si>
    <t xml:space="preserve">.biga</t>
  </si>
  <si>
    <t xml:space="preserve">.rastrells per a suport de coberta</t>
  </si>
  <si>
    <t xml:space="preserve">1.11</t>
  </si>
  <si>
    <t xml:space="preserve">.solera</t>
  </si>
  <si>
    <t xml:space="preserve">1.12</t>
  </si>
  <si>
    <t xml:space="preserve">1.13</t>
  </si>
  <si>
    <t xml:space="preserve">1.14</t>
  </si>
  <si>
    <t xml:space="preserve">1.15</t>
  </si>
  <si>
    <t xml:space="preserve">.reparació paviment plaça per la construcció magatzem de cotxets</t>
  </si>
  <si>
    <t xml:space="preserve">.reposició peces malmeses</t>
  </si>
  <si>
    <t xml:space="preserve">1.16</t>
  </si>
  <si>
    <t xml:space="preserve">.magatzem de cotxes</t>
  </si>
  <si>
    <t xml:space="preserve">1.17</t>
  </si>
  <si>
    <t xml:space="preserve">.interior magatzem</t>
  </si>
  <si>
    <t xml:space="preserve">.exterior magatzem</t>
  </si>
  <si>
    <t xml:space="preserve">1.18</t>
  </si>
  <si>
    <t xml:space="preserve">1.19</t>
  </si>
  <si>
    <t xml:space="preserve">1.20</t>
  </si>
  <si>
    <t xml:space="preserve">1.21</t>
  </si>
  <si>
    <t xml:space="preserve">.modificació tanca existent</t>
  </si>
  <si>
    <t xml:space="preserve">.adaptació de tanca retirada, tall i recol·locació</t>
  </si>
  <si>
    <t xml:space="preserve">1.22</t>
  </si>
  <si>
    <t xml:space="preserve">.entrada magatzem cotxets</t>
  </si>
  <si>
    <t xml:space="preserve">.nou accés</t>
  </si>
  <si>
    <t xml:space="preserve">1.23</t>
  </si>
  <si>
    <t xml:space="preserve">1.24</t>
  </si>
  <si>
    <t xml:space="preserve">.magatzem cotxets</t>
  </si>
  <si>
    <t xml:space="preserve">1.25</t>
  </si>
  <si>
    <t xml:space="preserve">.accés</t>
  </si>
  <si>
    <t xml:space="preserve">Peó ordinari construcció</t>
  </si>
  <si>
    <t xml:space="preserve">Costos directes complementaris</t>
  </si>
  <si>
    <t xml:space="preserve">%</t>
  </si>
  <si>
    <t xml:space="preserve">Oficial 1ª construcció</t>
  </si>
  <si>
    <t xml:space="preserve">Talladora de paviment</t>
  </si>
  <si>
    <t xml:space="preserve">Ajudant construcció d'obra civil</t>
  </si>
  <si>
    <t xml:space="preserve">Martell pneumàtic</t>
  </si>
  <si>
    <t xml:space="preserve">Compressor portàtil elèctric 2m3/min de cabal</t>
  </si>
  <si>
    <t xml:space="preserve">Peó especialitzat construcció</t>
  </si>
  <si>
    <t xml:space="preserve">Retrocarregadora sobre pneumàtics, de 70 kW</t>
  </si>
  <si>
    <t xml:space="preserve">Formigó HA-25/F/20/XC2, fabricat en central</t>
  </si>
  <si>
    <t xml:space="preserve">Ferralla en barres corrugades</t>
  </si>
  <si>
    <t xml:space="preserve">Oficial 1ª ferrallista</t>
  </si>
  <si>
    <t xml:space="preserve">Ajudant ferrallista</t>
  </si>
  <si>
    <t xml:space="preserve">Acer laminat</t>
  </si>
  <si>
    <t xml:space="preserve">Equip i elements auxiliars per soldadura elèctrica</t>
  </si>
  <si>
    <t xml:space="preserve">Oficial 1ª muntador d'estructura metàl·lica</t>
  </si>
  <si>
    <t xml:space="preserve">Ajudant muntador d'estructura metàl·lica</t>
  </si>
  <si>
    <t xml:space="preserve">Pintura esmalt per exterior</t>
  </si>
  <si>
    <t xml:space="preserve">Oficial 1ª pintor</t>
  </si>
  <si>
    <t xml:space="preserve">Ajudant pintor</t>
  </si>
  <si>
    <t xml:space="preserve">Elevador de braç articulat</t>
  </si>
  <si>
    <t xml:space="preserve">Àrid reciclat</t>
  </si>
  <si>
    <t xml:space="preserve">Aigua</t>
  </si>
  <si>
    <t xml:space="preserve">Mini pala carregadora sobre pneumàtics, de 52 kW/1 m³ kW</t>
  </si>
  <si>
    <t xml:space="preserve">Picó vibrant de guiat manual, de 80 kg, amb placa de 30x30 cm, tipus piconadora de granota</t>
  </si>
  <si>
    <t xml:space="preserve">Grava 40/70</t>
  </si>
  <si>
    <t xml:space="preserve">Film impermeable de polietilè</t>
  </si>
  <si>
    <t xml:space="preserve">Malla electrosoldada 20x20 Ø 5</t>
  </si>
  <si>
    <t xml:space="preserve">Regla vibrant de 3 m</t>
  </si>
  <si>
    <t xml:space="preserve">Arremolinadora mecànica de formigó</t>
  </si>
  <si>
    <t xml:space="preserve">morter de ciment</t>
  </si>
  <si>
    <t xml:space="preserve">sorra 2mm</t>
  </si>
  <si>
    <t xml:space="preserve">Peça prefabricada de formigó 60x30</t>
  </si>
  <si>
    <t xml:space="preserve">bloc buit de formigó</t>
  </si>
  <si>
    <t xml:space="preserve">aigua</t>
  </si>
  <si>
    <t xml:space="preserve">Morter industrial per a paleteria</t>
  </si>
  <si>
    <t xml:space="preserve">Formigonera elèctrica amb una capacitat de pastat de 160 l</t>
  </si>
  <si>
    <t xml:space="preserve">Mesclador continu amb sitja, per a morter industrial en sec, subministrat a granel</t>
  </si>
  <si>
    <t xml:space="preserve">Morter suport per a la projecció d'àrid</t>
  </si>
  <si>
    <t xml:space="preserve">àrid de marbre</t>
  </si>
  <si>
    <t xml:space="preserve">Panell sandwich</t>
  </si>
  <si>
    <t xml:space="preserve">kit de fixació</t>
  </si>
  <si>
    <t xml:space="preserve">Oficial 1ª muntador de tancaments industrials</t>
  </si>
  <si>
    <t xml:space="preserve">Ajudant muntador de tancaments industrials</t>
  </si>
  <si>
    <t xml:space="preserve">Canaló galvanitzat</t>
  </si>
  <si>
    <t xml:space="preserve">Oficial 1ª lampista</t>
  </si>
  <si>
    <t xml:space="preserve">Ajudant lampista</t>
  </si>
  <si>
    <t xml:space="preserve">Baixant</t>
  </si>
  <si>
    <t xml:space="preserve">Oficial 1ª serraller</t>
  </si>
  <si>
    <t xml:space="preserve">Ajudant serraller</t>
  </si>
  <si>
    <t xml:space="preserve">Acer laminat en fred</t>
  </si>
  <si>
    <t xml:space="preserve">Frontises i tiradors</t>
  </si>
  <si>
    <t xml:space="preserve">Part proporcional de material necessari</t>
  </si>
  <si>
    <t xml:space="preserve">Aplic per a exterior</t>
  </si>
  <si>
    <t xml:space="preserve">Sensor de presència</t>
  </si>
  <si>
    <t xml:space="preserve">Oficial 1ª electricista</t>
  </si>
  <si>
    <t xml:space="preserve">Ajudant electricista</t>
  </si>
  <si>
    <t xml:space="preserve">Acer laminat L LD T</t>
  </si>
  <si>
    <t xml:space="preserve">Llistó de pi de flandes 93x44mm</t>
  </si>
  <si>
    <t xml:space="preserve">Tornilleria</t>
  </si>
  <si>
    <t xml:space="preserve">Oficial 1ª fuster</t>
  </si>
  <si>
    <t xml:space="preserve">Camió de transport de 12t</t>
  </si>
  <si>
    <t xml:space="preserve">Bloc buit de formigó</t>
  </si>
  <si>
    <t xml:space="preserve">Morter de ciment</t>
  </si>
  <si>
    <t xml:space="preserve">Mesclador continu amb sitja, per a morter industrial en sec, subministrat a granel.</t>
  </si>
  <si>
    <t xml:space="preserve">Llistó de pi de flandes 22x96mm</t>
  </si>
  <si>
    <t xml:space="preserve">Llistó de pi de flandes 40x40mm</t>
  </si>
  <si>
    <t xml:space="preserve">Llistó de pi de flandes 69x44mm</t>
  </si>
  <si>
    <t xml:space="preserve">Terra primavera</t>
  </si>
  <si>
    <t xml:space="preserve">Retroexcavadora </t>
  </si>
  <si>
    <t xml:space="preserve">Panell carrosser</t>
  </si>
  <si>
    <t xml:space="preserve">Llistó de pi de flandes 69x69mm</t>
  </si>
  <si>
    <t xml:space="preserve">Frontisses</t>
  </si>
  <si>
    <t xml:space="preserve">Tobogan H90 rotomoldeo</t>
  </si>
  <si>
    <t xml:space="preserve">Troncs acàcia </t>
  </si>
  <si>
    <t xml:space="preserve">Sauló</t>
  </si>
  <si>
    <t xml:space="preserve">Sorra rentada</t>
  </si>
  <si>
    <t xml:space="preserve">Font de tronc</t>
  </si>
  <si>
    <t xml:space="preserve">Biorotllo de fibra de coco </t>
  </si>
  <si>
    <t xml:space="preserve">Rampa de fusta de cedre</t>
  </si>
  <si>
    <t xml:space="preserve">Tipi</t>
  </si>
  <si>
    <t xml:space="preserve">Cabana ocell</t>
  </si>
  <si>
    <t xml:space="preserve">Estructura de troncs amb corda
</t>
  </si>
  <si>
    <t xml:space="preserve">Cabana 2 aigues</t>
  </si>
  <si>
    <t xml:space="preserve">Banc mig tronc</t>
  </si>
  <si>
    <t xml:space="preserve">Pont mòbil</t>
  </si>
  <si>
    <t xml:space="preserve">Pedra gran</t>
  </si>
  <si>
    <t xml:space="preserve">Pedra mitjana</t>
  </si>
  <si>
    <t xml:space="preserve">Pedres irregulars</t>
  </si>
  <si>
    <t xml:space="preserve">Arbre 18-20</t>
  </si>
  <si>
    <t xml:space="preserve">Oficial 1ª jardiner</t>
  </si>
  <si>
    <t xml:space="preserve">Arbust petit</t>
  </si>
  <si>
    <t xml:space="preserve">Arbust mitjà</t>
  </si>
  <si>
    <t xml:space="preserve">Enfiladisses</t>
  </si>
  <si>
    <t xml:space="preserve">QUADRE DE PREUS 2</t>
  </si>
  <si>
    <t xml:space="preserve">JUSTIFICACIÓ</t>
  </si>
  <si>
    <t xml:space="preserve">Mà d'obra</t>
  </si>
  <si>
    <t xml:space="preserve">Oficial 1ª lampista </t>
  </si>
  <si>
    <t xml:space="preserve">Equip i maquinària</t>
  </si>
  <si>
    <t xml:space="preserve">Camió cisterna, de 8 m³ de capacitat</t>
  </si>
  <si>
    <t xml:space="preserve">Dúmper de descàrrega frontal de 2 t de càrrega útil</t>
  </si>
  <si>
    <t xml:space="preserve">Compactadora tàndem autopropulsat, de 63 kW, de 9,65 t, amplada de treball 168 cm</t>
  </si>
  <si>
    <t xml:space="preserve">Lloguer diari de cistell elevador de braç articulat, motor dièsel, de 16 m d'altura màxima de treball, inclús manteniment i assegurança de responsabilitat civil.</t>
  </si>
  <si>
    <t xml:space="preserve">Materials</t>
  </si>
  <si>
    <t xml:space="preserve">Acer laminat UNE-EN 10025 S275JR, en perfils laminats en calent, peces simples, per aplicacions estructurals, de les sèries IPN, IPE, HEB, HEA, HEM o UPN, acabat amb emprimació antioxidant. Treballat i muntat en taller, per a col·locar amb unions soldades en obra.</t>
  </si>
  <si>
    <t xml:space="preserve">Acer laminat UNE-EN 10025 S275JR, en perfils laminats en calent, peces simples, per aplicacions estructurals, de les sèries L, LD, T, rodó, quadrat, rectangular o platina, acabat amb emprimació antioxidant. Treballat i muntat en taller, per a col·locar amb unions cargolades en obra.</t>
  </si>
  <si>
    <t xml:space="preserve">Acer UNE-EN 10162 S235JRC, en perfils conformats en fred, peces simples, per aplicacions estructurals, de les sèries omega, L, U, C o Z, acabat amb emprimació antioxidant. Treballat i muntat en taller, per a col·locar amb unions soldades en obra.</t>
  </si>
  <si>
    <t xml:space="preserve">Àrid reciclat de formigó, de granulometria compresa entre 40 i 80 mm, subministrat mitjançant camió.</t>
  </si>
  <si>
    <t xml:space="preserve">t</t>
  </si>
  <si>
    <t xml:space="preserve">Grava de pedrera de pedra granítica, de 40 a 70 mm de diàmetre</t>
  </si>
  <si>
    <t xml:space="preserve">Film impermeable de polietilè de baixa densitat (LDPE) de 0,1 mm d'espessor i 100 g/m² de massa superficial, color negre.</t>
  </si>
  <si>
    <t xml:space="preserve">Malla electrosoldada ME 20x20 Ø 5-5 B 500 T 6x2,20 UNE-EN 10080.</t>
  </si>
  <si>
    <t xml:space="preserve">Morter de ciment CEM II/B-P 32,5 N tipus M-5, confeccionat en obra con 250 kg/m³ de ciment i una proporció en volum 1/6.</t>
  </si>
  <si>
    <t xml:space="preserve">Sorra 2mm</t>
  </si>
  <si>
    <t xml:space="preserve">Sorra natural, fina i seca, de 2 mm de grandària màxima, exempta de sals perjudicials, presentada en sacs.</t>
  </si>
  <si>
    <t xml:space="preserve">Sorra de 0.2 a 2 mm de gruix rentada sense partícules de fang ni argiles</t>
  </si>
  <si>
    <t xml:space="preserve">Sorra granítica amb granulometria entre 0 i 7 mm. </t>
  </si>
  <si>
    <t xml:space="preserve">Terra barrejada amb una proporció aproximada de 45% argila, 45% sauló i un 10% de matèria orgànica per facilitar la plantació de vegetació</t>
  </si>
  <si>
    <t xml:space="preserve">Àrid ull de perdiu, rentat,  de grandària màxima 40 a 80 mm i cares arrodonides</t>
  </si>
  <si>
    <t xml:space="preserve">Terra vegetal plantació</t>
  </si>
  <si>
    <t xml:space="preserve">Terra vegetal de jardineria de categoria mitja, amb una conductivitat elèctrica menor de 1,2 dS/m, segons NTJ 07A.</t>
  </si>
  <si>
    <t xml:space="preserve">Peces prefabricades de formigó abujardat, monocapa, per exteriors, 60x30x3 cm, color gris, classe resistent a flexió T, classe resistent segons la càrrega de ruptura 4, classe de desgast per abrasió H, segons UNE-EN 1339, amb resistència al lliscament Rd&gt;45 segons UNE-EN 16165 i lliscabilitat classe 3 segons CTE.</t>
  </si>
  <si>
    <t xml:space="preserve">Bloc buit de formigó, per revestir, color gris, 40x20x20 cm, categoria II, resistència normalitzada R10 (10 N/mm²), densitat 1150 kg/m³; amb el preu incrementat el 20% en concepte de peces especials: cèrcols i medis. Segons UNE-EN 771-3.</t>
  </si>
  <si>
    <t xml:space="preserve">Morter industrial per a obra de paleta, de ciment, color gris, categoria M-5 (resistència a compressió 5 N/mm²), subministrat a granel, segons UNE-EN 998-2.</t>
  </si>
  <si>
    <t xml:space="preserve">Ferralla elaborada en taller industrial amb acer en barres corrugades, UNE-EN 10080 B 500 S, de varis diàmetres.</t>
  </si>
  <si>
    <t xml:space="preserve">Ciment en sacs</t>
  </si>
  <si>
    <t xml:space="preserve">Ciment Pòrtland CEM II/B-L 32,5 R, color gris, en sacs, segons UNE-EN 197-1.</t>
  </si>
  <si>
    <t xml:space="preserve">Morter suport per a la projecció d'àrid, color a escollir, acabat granulat imitació pedra natural, compost per copolímers acrílics en dispersió aquosa, càrregues de granulometria controlada i pigments estenedors seleccionats, d'alta resistència a la abrasió, impermeable a l'aigua de pluja, permeable al vapor d'aigua, antifloridura i antiverdet i amb resistència als raigs UV i als àlcalis, per a aplicar amb plana metàl·lica.</t>
  </si>
  <si>
    <t xml:space="preserve">Àrid de marbre</t>
  </si>
  <si>
    <t xml:space="preserve">Àrid de marbre, procedent de trituració, per projectar sobre morter, de granulometria compresa entre 5 i 9 mm.</t>
  </si>
  <si>
    <t xml:space="preserve">Panell sandwich acústic d'acer galvanitzat, per a cobertes, de 100 mm d'espessor i 1150 mm d'amplada, format per cara exterior de xapa grecada amb cinc greques acabat prelacat, RC3 i RUV2, segons UNE-EN 10169, de 0,5 mm d'espessor, ànima aïllant de llana de roca de densitat mitjana 95 kg/m³ i cara interior de xapa nervada acabat prelacat, de 0,5 mm d'espessor, amb perforacions de 3 mm de diàmetre, conductivitat tèrmica 0,35 W/(mK), Euroclasse A2-s1, d0 de reacció al foc, segons UNE-EN 13501-1, amb 35 dB d'índex global de reducció acústica, Rw, proporcionant una reducció del nivell global ponderat de pressió de soroll aeri de 34,7 dBA i coeficient d'absorció acústica mitjà 0,85, segons UNE-EN ISO 354.</t>
  </si>
  <si>
    <t xml:space="preserve">Kit d'accessoris de fixació, per a panells sandvitx aïllants, en cobertes inclinades.</t>
  </si>
  <si>
    <t xml:space="preserve">Canaló quadrat d'acer galvanitzat, de desenvolupament 250 mm, segons UNE-EN 612, amb el preu incrementat el 30% en concepte de suports, cantonades, tapes, rematades finals, peces de connexió a baixants i peces especials.</t>
  </si>
  <si>
    <t xml:space="preserve">Baixant circular de PVC amb òxid de titani, de Ø 80 mm, color gris clar, segons UNE-EN 12200-1, amb el preu incrementat el 10% en concepte de connexions, colzes i peces especials, brida, líquid per tubs, adhesiu.</t>
  </si>
  <si>
    <t xml:space="preserve">Equip de porter electrònic, per a habitatge unifamiliar, compost per placa de carrer antivandàlica amb polsador de trucada, caixa d'encastar, font d'alimentació i telèfon amb botó de comandament per l'obreportes.</t>
  </si>
  <si>
    <t xml:space="preserve">Pintura intumescent</t>
  </si>
  <si>
    <t xml:space="preserve">Pintura intumescent para interior o exterior, Promapaint-SC4 "PROMAT", a base de copolímers acrílics a emulsió aquosa, color blanc; per a aplicar amb pistola d'alta pressió o amb brotxa.</t>
  </si>
  <si>
    <t xml:space="preserve">Rotllo de fibra de coco d'alta densitat compactada i estructurada en una xarxa de polipropilè.  </t>
  </si>
  <si>
    <t xml:space="preserve">Pedra triada arrodonida d'aproximadament 80cm de diàmetre i 200kg.</t>
  </si>
  <si>
    <t xml:space="preserve">Pedra triada arrodonida d'aproximadament 30cm de diàmetre i 60kg.</t>
  </si>
  <si>
    <t xml:space="preserve">Peces irregulars d'entre 20 a 40 cm de diàmetres i d'entre 3 i 4 cm d'espessor per a formació de camins</t>
  </si>
  <si>
    <t xml:space="preserve">Arqueta negra rectangualar de polipropilé amb tapa verda i cargol. L50,5 x An37 x Al30,5.</t>
  </si>
  <si>
    <t xml:space="preserve">Tub corrugat</t>
  </si>
  <si>
    <t xml:space="preserve">Tub corrugat (túnel) de 80cm de diàmetre i 120cm de llargada </t>
  </si>
  <si>
    <t xml:space="preserve">Llistó de 22x96 mm de secció, de fusta de pi de flandes, tractada en autoclau, amb classe d'ús 4.</t>
  </si>
  <si>
    <t xml:space="preserve">Llistó per rastrells de 93x44 mm de secció, de fusta de pi de  flandes, tractada en autoclau, amb classe d'ús 4.</t>
  </si>
  <si>
    <t xml:space="preserve">Llistó per rastrells de 40x40 mm de secció, de fusta de pi de  flandes, tractada en autoclau, amb classe d'ús 4.</t>
  </si>
  <si>
    <t xml:space="preserve">Llistó per rastrells de 69x44 mm de secció, de fusta de pi de flandes, tractada en autoclau, amb classe d'ús 4.</t>
  </si>
  <si>
    <t xml:space="preserve">Llistó de 69x69 mm de secció, de fusta de pi de flandes, tractada en autoclau, amb classe d'ús 4.</t>
  </si>
  <si>
    <t xml:space="preserve">Travesses de pi de flandes tractades per exterior a autoclau</t>
  </si>
  <si>
    <t xml:space="preserve">Panell carrosser fenòlic (WBP) de contraxapat de fusta de bedoll d'alta qualitat.</t>
  </si>
  <si>
    <t xml:space="preserve">Tobogan de polimer, moldejat segons rotomoldeo, d'alçada 90cm i amplària 66cm. Color taronja RAL 2010, 100% reciclat</t>
  </si>
  <si>
    <t xml:space="preserve">Troncs d'acàcia polits i amb tractament oli per a exterior d'entre 14 i 24cm de diàmetre, col·locats horitzontal i verticalment sobre el terreny per a formació de perímetres i elements de joc. </t>
  </si>
  <si>
    <t xml:space="preserve">Rampa de fusta de cedre de 120x40cm i 5cm de gruix.</t>
  </si>
  <si>
    <t xml:space="preserve">Font feta amb tronc de fusta d'acàcia  de 115cm d'alçada amb aixeta.</t>
  </si>
  <si>
    <t xml:space="preserve">Circuit d'aigua per a exterior format per un conjunt de canals fetes amb troncs de fusta d'acàcia i dues plataformes de panell fenòlic de carrosser. </t>
  </si>
  <si>
    <t xml:space="preserve">Cabana de fusta de lames de pi tractat per a exterior amb forma de tipi de sis costats.</t>
  </si>
  <si>
    <t xml:space="preserve">Cabana de fusta d'càcia en forma de niu d'ocell. </t>
  </si>
  <si>
    <t xml:space="preserve">Cabana de fusta amb teulada a dues aigúes de lames de pi tractat per a exterior.</t>
  </si>
  <si>
    <t xml:space="preserve">Banc de troncs d'acàcia amb base de mig tronc de diàmetre entre 25 i 30cm.</t>
  </si>
  <si>
    <t xml:space="preserve">Estructura de fusta amb una plataforma mòbil amb baranes de fusta i cordes.</t>
  </si>
  <si>
    <t xml:space="preserve">Esmalt sintètic d'assecat ràpid, per a exterior, color blanc, acabat brillant, a base de resines alquídiques, pigments orgànics, pigments inorgànics, pigments antioxidants i dissolvent formulat a base d'una mescla d'hidrocarburs, per aplicar amb brotxa, corró o pistola sobre superfícies metàl·liques.</t>
  </si>
  <si>
    <t xml:space="preserve">l</t>
  </si>
  <si>
    <t xml:space="preserve">Vegetació</t>
  </si>
  <si>
    <t xml:space="preserve">Arbre planifoli amb pa de terra o contenidor, de 18 a 20 cm de perímetre de tronc a 1,5 m d'alçària (a partir del coll de l'arrel)                                      </t>
  </si>
  <si>
    <t xml:space="preserve">Enfiladissa en contenidor de 3 a 5l</t>
  </si>
  <si>
    <t xml:space="preserve">Arbust o arbre de petit format en contenidor d'1,5 a 3 l      </t>
  </si>
  <si>
    <t xml:space="preserve">Arbust o arbre de petit format en contenidor de 3 a 5 l            </t>
  </si>
  <si>
    <t xml:space="preserve">RESUM PER CAPÍTOLS</t>
  </si>
  <si>
    <t xml:space="preserve">RESUM PER ZONES</t>
  </si>
  <si>
    <t xml:space="preserve">TOTAL PEM</t>
  </si>
  <si>
    <t xml:space="preserve">CONTROL DE QUALITAT I SEGURETAT I SALUT</t>
  </si>
  <si>
    <t xml:space="preserve">Control de Qualitat i Homologació segons normativa vigent </t>
  </si>
  <si>
    <t xml:space="preserve">Seguretat i Salut</t>
  </si>
  <si>
    <t xml:space="preserve">TOTAL  PARCIAL</t>
  </si>
  <si>
    <t xml:space="preserve">SUMA DESPESES GENERALS I BENEFICI INDUSTRIAL</t>
  </si>
  <si>
    <t xml:space="preserve">13,00%   Despeses Generals</t>
  </si>
  <si>
    <t xml:space="preserve">6,00%     Benefici Industrial</t>
  </si>
  <si>
    <t xml:space="preserve">IMPOSTOS</t>
  </si>
  <si>
    <t xml:space="preserve">21% I.V.A.</t>
  </si>
  <si>
    <t xml:space="preserve">TOTAL PEC  (TOTAL PRESSUPOST PER CONEIXEMENT DE L'ADMINISTRACIÓ)</t>
  </si>
</sst>
</file>

<file path=xl/styles.xml><?xml version="1.0" encoding="utf-8"?>
<styleSheet xmlns="http://schemas.openxmlformats.org/spreadsheetml/2006/main">
  <numFmts count="17">
    <numFmt numFmtId="164" formatCode="General"/>
    <numFmt numFmtId="165" formatCode="* #,##0.00&quot;    &quot;;\-* #,##0.00&quot;    &quot;;* \-#&quot;    &quot;;@\ "/>
    <numFmt numFmtId="166" formatCode="_-* #,##0.00\ _€_-;\-* #,##0.00\ _€_-;_-* \-??\ _€_-;_-@_-"/>
    <numFmt numFmtId="167" formatCode="_-* #,##0.00&quot; €&quot;_-;\-* #,##0.00&quot; €&quot;_-;_-* \-??&quot; €&quot;_-;_-@_-"/>
    <numFmt numFmtId="168" formatCode="0\ %"/>
    <numFmt numFmtId="169" formatCode="\ * #,##0.00&quot;    &quot;;\-* #,##0.00&quot;    &quot;;\ * \-#&quot;    &quot;;\ @\ "/>
    <numFmt numFmtId="170" formatCode="0.00"/>
    <numFmt numFmtId="171" formatCode="#,##0.00&quot; €&quot;;[RED]\-#,##0.00&quot; €&quot;"/>
    <numFmt numFmtId="172" formatCode="[$-403]d\ mmmm&quot; de &quot;yyyy;@"/>
    <numFmt numFmtId="173" formatCode="dd/mm/yyyy;@"/>
    <numFmt numFmtId="174" formatCode="@"/>
    <numFmt numFmtId="175" formatCode="#,##0"/>
    <numFmt numFmtId="176" formatCode="#,##0.00"/>
    <numFmt numFmtId="177" formatCode="[$-403]mmmm&quot; de &quot;yyyy;@"/>
    <numFmt numFmtId="178" formatCode="#,##0.00&quot; €&quot;;\-#,##0.00&quot; €&quot;"/>
    <numFmt numFmtId="179" formatCode="#,##0.00&quot; €&quot;"/>
    <numFmt numFmtId="180" formatCode="#,##0.00\ _€"/>
  </numFmts>
  <fonts count="66">
    <font>
      <sz val="11"/>
      <color theme="1"/>
      <name val="Calibri"/>
      <family val="2"/>
      <charset val="1"/>
    </font>
    <font>
      <sz val="10"/>
      <name val="Arial"/>
      <family val="0"/>
    </font>
    <font>
      <sz val="10"/>
      <name val="Arial"/>
      <family val="0"/>
    </font>
    <font>
      <sz val="10"/>
      <name val="Arial"/>
      <family val="0"/>
    </font>
    <font>
      <sz val="11"/>
      <color rgb="FF000000"/>
      <name val="Calibri"/>
      <family val="2"/>
      <charset val="1"/>
    </font>
    <font>
      <sz val="11"/>
      <color theme="1"/>
      <name val="Arial Narrow"/>
      <family val="2"/>
      <charset val="1"/>
    </font>
    <font>
      <sz val="13"/>
      <color rgb="FF000000"/>
      <name val="Calibri"/>
      <family val="2"/>
      <charset val="1"/>
    </font>
    <font>
      <sz val="13"/>
      <color rgb="FF000000"/>
      <name val="Arial"/>
      <family val="2"/>
      <charset val="1"/>
    </font>
    <font>
      <sz val="11"/>
      <color theme="1"/>
      <name val="Arial"/>
      <family val="2"/>
      <charset val="1"/>
    </font>
    <font>
      <b val="true"/>
      <sz val="20"/>
      <color rgb="FF000000"/>
      <name val="Arial"/>
      <family val="2"/>
      <charset val="1"/>
    </font>
    <font>
      <sz val="20"/>
      <color theme="1"/>
      <name val="Arial"/>
      <family val="2"/>
      <charset val="1"/>
    </font>
    <font>
      <sz val="20"/>
      <color theme="1"/>
      <name val="Calibri"/>
      <family val="2"/>
      <charset val="1"/>
    </font>
    <font>
      <b val="true"/>
      <sz val="13"/>
      <color rgb="FF000000"/>
      <name val="Arial"/>
      <family val="2"/>
      <charset val="1"/>
    </font>
    <font>
      <b val="true"/>
      <i val="true"/>
      <sz val="13"/>
      <color rgb="FF000000"/>
      <name val="Arial"/>
      <family val="2"/>
      <charset val="1"/>
    </font>
    <font>
      <b val="true"/>
      <i val="true"/>
      <sz val="20"/>
      <color rgb="FF000000"/>
      <name val="Arial"/>
      <family val="2"/>
      <charset val="1"/>
    </font>
    <font>
      <sz val="11"/>
      <color rgb="FFFF0000"/>
      <name val="Arial"/>
      <family val="2"/>
      <charset val="1"/>
    </font>
    <font>
      <sz val="12"/>
      <color rgb="FF31374A"/>
      <name val="Arial"/>
      <family val="2"/>
      <charset val="1"/>
    </font>
    <font>
      <sz val="13"/>
      <name val="Arial"/>
      <family val="2"/>
      <charset val="1"/>
    </font>
    <font>
      <sz val="13"/>
      <color rgb="FFFF0000"/>
      <name val="Arial"/>
      <family val="2"/>
      <charset val="1"/>
    </font>
    <font>
      <b val="true"/>
      <i val="true"/>
      <sz val="13"/>
      <name val="Arial"/>
      <family val="2"/>
      <charset val="1"/>
    </font>
    <font>
      <sz val="11"/>
      <name val="Arial"/>
      <family val="2"/>
      <charset val="1"/>
    </font>
    <font>
      <sz val="13"/>
      <name val="Calibri"/>
      <family val="2"/>
      <charset val="1"/>
    </font>
    <font>
      <sz val="11"/>
      <name val="Calibri"/>
      <family val="2"/>
      <charset val="1"/>
    </font>
    <font>
      <b val="true"/>
      <i val="true"/>
      <sz val="20"/>
      <name val="Arial"/>
      <family val="2"/>
      <charset val="1"/>
    </font>
    <font>
      <b val="true"/>
      <sz val="13"/>
      <name val="Arial"/>
      <family val="2"/>
      <charset val="1"/>
    </font>
    <font>
      <b val="true"/>
      <i val="true"/>
      <sz val="13"/>
      <color rgb="FF000000"/>
      <name val="Swis721 LtCn BT"/>
      <family val="2"/>
      <charset val="1"/>
    </font>
    <font>
      <sz val="72"/>
      <color rgb="FF000000"/>
      <name val="Arial"/>
      <family val="2"/>
      <charset val="1"/>
    </font>
    <font>
      <sz val="10"/>
      <name val="Arial"/>
      <family val="2"/>
    </font>
    <font>
      <sz val="9"/>
      <color rgb="FF000000"/>
      <name val="Tahoma"/>
      <family val="2"/>
      <charset val="1"/>
    </font>
    <font>
      <sz val="9"/>
      <color theme="1"/>
      <name val="Swiss 721 Light Condensed BT"/>
      <family val="0"/>
      <charset val="1"/>
    </font>
    <font>
      <u val="single"/>
      <sz val="9"/>
      <color theme="1"/>
      <name val="Swiss 721 Light Condensed BT"/>
      <family val="0"/>
      <charset val="1"/>
    </font>
    <font>
      <b val="true"/>
      <sz val="9"/>
      <name val="Swiss 721 Light Condensed BT"/>
      <family val="0"/>
      <charset val="1"/>
    </font>
    <font>
      <u val="single"/>
      <sz val="11"/>
      <color theme="10"/>
      <name val="Calibri"/>
      <family val="2"/>
      <charset val="1"/>
    </font>
    <font>
      <sz val="9"/>
      <name val="Swiss 721 Light Condensed BT"/>
      <family val="0"/>
      <charset val="1"/>
    </font>
    <font>
      <b val="true"/>
      <sz val="9"/>
      <color theme="0"/>
      <name val="Swiss 721 Light Condensed BT"/>
      <family val="0"/>
      <charset val="1"/>
    </font>
    <font>
      <b val="true"/>
      <i val="true"/>
      <sz val="9"/>
      <name val="Swiss 721 Light Condensed BT"/>
      <family val="0"/>
      <charset val="1"/>
    </font>
    <font>
      <b val="true"/>
      <sz val="10"/>
      <name val="Swiss 721 Light Condensed BT"/>
      <family val="0"/>
      <charset val="1"/>
    </font>
    <font>
      <i val="true"/>
      <sz val="9"/>
      <name val="Swiss 721 Light Condensed BT"/>
      <family val="0"/>
      <charset val="1"/>
    </font>
    <font>
      <sz val="9"/>
      <color rgb="FF0000FF"/>
      <name val="Swiss 721 Light Condensed BT"/>
      <family val="0"/>
      <charset val="1"/>
    </font>
    <font>
      <sz val="9"/>
      <color rgb="FFFF0000"/>
      <name val="Swis721 LtCn BT"/>
      <family val="2"/>
      <charset val="1"/>
    </font>
    <font>
      <sz val="11"/>
      <name val="Swis721 LtCn BT"/>
      <family val="2"/>
      <charset val="1"/>
    </font>
    <font>
      <b val="true"/>
      <sz val="9"/>
      <name val="Swis721 LtCn BT"/>
      <family val="2"/>
      <charset val="1"/>
    </font>
    <font>
      <sz val="9"/>
      <name val="Swis721 LtCn BT"/>
      <family val="2"/>
      <charset val="1"/>
    </font>
    <font>
      <b val="true"/>
      <i val="true"/>
      <sz val="9"/>
      <name val="Swis721 LtCn BT"/>
      <family val="2"/>
      <charset val="1"/>
    </font>
    <font>
      <b val="true"/>
      <sz val="14"/>
      <name val="Swis721 LtCn BT"/>
      <family val="2"/>
      <charset val="1"/>
    </font>
    <font>
      <sz val="14"/>
      <name val="Swis721 LtCn BT"/>
      <family val="2"/>
      <charset val="1"/>
    </font>
    <font>
      <i val="true"/>
      <sz val="9"/>
      <name val="Swis721 LtCn BT"/>
      <family val="2"/>
      <charset val="1"/>
    </font>
    <font>
      <b val="true"/>
      <sz val="11"/>
      <name val="Swis721 LtCn BT"/>
      <family val="2"/>
      <charset val="1"/>
    </font>
    <font>
      <b val="true"/>
      <i val="true"/>
      <sz val="11"/>
      <name val="Swis721 LtCn BT"/>
      <family val="2"/>
      <charset val="1"/>
    </font>
    <font>
      <sz val="10"/>
      <name val="Swis721 LtCn BT"/>
      <family val="2"/>
      <charset val="1"/>
    </font>
    <font>
      <sz val="10"/>
      <color rgb="FFFF0000"/>
      <name val="Swis721 LtCn BT"/>
      <family val="2"/>
      <charset val="1"/>
    </font>
    <font>
      <b val="true"/>
      <sz val="9"/>
      <color rgb="FFFF0000"/>
      <name val="Swis721 LtCn BT"/>
      <family val="2"/>
      <charset val="1"/>
    </font>
    <font>
      <sz val="11"/>
      <color rgb="FFFF0000"/>
      <name val="Swis721 LtCn BT"/>
      <family val="2"/>
      <charset val="1"/>
    </font>
    <font>
      <b val="true"/>
      <i val="true"/>
      <sz val="11"/>
      <color rgb="FFFF0000"/>
      <name val="Swis721 LtCn BT"/>
      <family val="2"/>
      <charset val="1"/>
    </font>
    <font>
      <b val="true"/>
      <sz val="11"/>
      <color rgb="FFFF0000"/>
      <name val="Swis721 LtCn BT"/>
      <family val="2"/>
      <charset val="1"/>
    </font>
    <font>
      <sz val="9"/>
      <color rgb="FFFF0000"/>
      <name val="Arial"/>
      <family val="2"/>
      <charset val="1"/>
    </font>
    <font>
      <sz val="9"/>
      <color rgb="FF222834"/>
      <name val="Swis721 LtCn BT"/>
      <family val="2"/>
      <charset val="1"/>
    </font>
    <font>
      <sz val="9"/>
      <color theme="9"/>
      <name val="Swis721 LtCn BT"/>
      <family val="2"/>
      <charset val="1"/>
    </font>
    <font>
      <sz val="10"/>
      <color theme="1"/>
      <name val="Swis721 LtCn BT"/>
      <family val="2"/>
      <charset val="1"/>
    </font>
    <font>
      <b val="true"/>
      <sz val="9"/>
      <name val="Swis721 LtCn BT"/>
      <family val="2"/>
    </font>
    <font>
      <sz val="10"/>
      <color rgb="FF222834"/>
      <name val="Swis721 LtCn BT"/>
      <family val="2"/>
      <charset val="1"/>
    </font>
    <font>
      <b val="true"/>
      <i val="true"/>
      <sz val="9"/>
      <color rgb="FFFF0000"/>
      <name val="Swis721 LtCn BT"/>
      <family val="2"/>
      <charset val="1"/>
    </font>
    <font>
      <b val="true"/>
      <sz val="11"/>
      <color theme="0" tint="-0.5"/>
      <name val="Swis721 LtCn BT"/>
      <family val="2"/>
      <charset val="1"/>
    </font>
    <font>
      <b val="true"/>
      <sz val="12"/>
      <name val="Swis721 LtCn BT"/>
      <family val="2"/>
      <charset val="1"/>
    </font>
    <font>
      <b val="true"/>
      <i val="true"/>
      <sz val="14"/>
      <name val="Swis721 LtCn BT"/>
      <family val="2"/>
      <charset val="1"/>
    </font>
    <font>
      <b val="true"/>
      <sz val="8"/>
      <name val="Swis721 LtCn BT"/>
      <family val="2"/>
      <charset val="1"/>
    </font>
  </fonts>
  <fills count="25">
    <fill>
      <patternFill patternType="none"/>
    </fill>
    <fill>
      <patternFill patternType="gray125"/>
    </fill>
    <fill>
      <patternFill patternType="solid">
        <fgColor theme="0" tint="-0.15"/>
        <bgColor rgb="FFDAE3F3"/>
      </patternFill>
    </fill>
    <fill>
      <patternFill patternType="solid">
        <fgColor theme="0" tint="-0.05"/>
        <bgColor rgb="FFEDEDED"/>
      </patternFill>
    </fill>
    <fill>
      <patternFill patternType="solid">
        <fgColor rgb="FFFFFF00"/>
        <bgColor rgb="FFFFE699"/>
      </patternFill>
    </fill>
    <fill>
      <patternFill patternType="solid">
        <fgColor theme="4" tint="0.5999"/>
        <bgColor rgb="FFBDD7EE"/>
      </patternFill>
    </fill>
    <fill>
      <patternFill patternType="solid">
        <fgColor theme="6" tint="0.7999"/>
        <bgColor rgb="FFF2F2F2"/>
      </patternFill>
    </fill>
    <fill>
      <patternFill patternType="solid">
        <fgColor theme="7" tint="-0.25"/>
        <bgColor rgb="FF808000"/>
      </patternFill>
    </fill>
    <fill>
      <patternFill patternType="solid">
        <fgColor theme="7" tint="0.5999"/>
        <bgColor rgb="FFFFF2CC"/>
      </patternFill>
    </fill>
    <fill>
      <patternFill patternType="solid">
        <fgColor theme="5" tint="-0.25"/>
        <bgColor rgb="FF993300"/>
      </patternFill>
    </fill>
    <fill>
      <patternFill patternType="solid">
        <fgColor theme="5" tint="0.3999"/>
        <bgColor rgb="FFFFE699"/>
      </patternFill>
    </fill>
    <fill>
      <patternFill patternType="solid">
        <fgColor theme="0"/>
        <bgColor rgb="FFF2F2F2"/>
      </patternFill>
    </fill>
    <fill>
      <patternFill patternType="solid">
        <fgColor theme="8" tint="0.5999"/>
        <bgColor rgb="FFB4C7E7"/>
      </patternFill>
    </fill>
    <fill>
      <patternFill patternType="solid">
        <fgColor theme="8" tint="0.7999"/>
        <bgColor rgb="FFDAE3F3"/>
      </patternFill>
    </fill>
    <fill>
      <patternFill patternType="solid">
        <fgColor theme="7" tint="0.7999"/>
        <bgColor rgb="FFFBE5D6"/>
      </patternFill>
    </fill>
    <fill>
      <patternFill patternType="solid">
        <fgColor rgb="FFC1D3C2"/>
        <bgColor rgb="FFBACEBB"/>
      </patternFill>
    </fill>
    <fill>
      <patternFill patternType="solid">
        <fgColor rgb="FFBACEBB"/>
        <bgColor rgb="FFC1D3C2"/>
      </patternFill>
    </fill>
    <fill>
      <patternFill patternType="solid">
        <fgColor theme="9" tint="0.7999"/>
        <bgColor rgb="FFEDEDED"/>
      </patternFill>
    </fill>
    <fill>
      <patternFill patternType="solid">
        <fgColor rgb="FF00B0F0"/>
        <bgColor rgb="FF008080"/>
      </patternFill>
    </fill>
    <fill>
      <patternFill patternType="solid">
        <fgColor rgb="FF00B050"/>
        <bgColor rgb="FF008080"/>
      </patternFill>
    </fill>
    <fill>
      <patternFill patternType="solid">
        <fgColor theme="9" tint="0.3999"/>
        <bgColor rgb="FFBACEBB"/>
      </patternFill>
    </fill>
    <fill>
      <patternFill patternType="solid">
        <fgColor theme="4" tint="0.7999"/>
        <bgColor rgb="FFDEEBF7"/>
      </patternFill>
    </fill>
    <fill>
      <patternFill patternType="solid">
        <fgColor rgb="FF92D050"/>
        <bgColor rgb="FFA9D18E"/>
      </patternFill>
    </fill>
    <fill>
      <patternFill patternType="solid">
        <fgColor theme="9" tint="0.5999"/>
        <bgColor rgb="FFC1D3C2"/>
      </patternFill>
    </fill>
    <fill>
      <patternFill patternType="solid">
        <fgColor theme="5" tint="0.7999"/>
        <bgColor rgb="FFFFF2CC"/>
      </patternFill>
    </fill>
  </fills>
  <borders count="36">
    <border diagonalUp="false" diagonalDown="false">
      <left/>
      <right/>
      <top/>
      <bottom/>
      <diagonal/>
    </border>
    <border diagonalUp="false" diagonalDown="false">
      <left style="medium"/>
      <right style="medium"/>
      <top style="medium"/>
      <bottom style="mediu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medium"/>
      <top style="medium"/>
      <bottom style="medium"/>
      <diagonal/>
    </border>
    <border diagonalUp="false" diagonalDown="false">
      <left style="thin"/>
      <right style="thin"/>
      <top style="thin"/>
      <bottom style="thin"/>
      <diagonal/>
    </border>
    <border diagonalUp="false" diagonalDown="false">
      <left style="thin">
        <color rgb="FFFF0000"/>
      </left>
      <right style="thin">
        <color rgb="FFFF0000"/>
      </right>
      <top style="thin">
        <color rgb="FFFF0000"/>
      </top>
      <bottom style="thin">
        <color rgb="FFFF0000"/>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style="medium"/>
      <bottom style="thin"/>
      <diagonal/>
    </border>
    <border diagonalUp="false" diagonalDown="false">
      <left style="thin"/>
      <right style="thin"/>
      <top/>
      <bottom/>
      <diagonal/>
    </border>
    <border diagonalUp="false" diagonalDown="false">
      <left style="thin"/>
      <right style="thin"/>
      <top style="thin"/>
      <bottom/>
      <diagonal/>
    </border>
    <border diagonalUp="false" diagonalDown="false">
      <left/>
      <right/>
      <top style="thin"/>
      <bottom/>
      <diagonal/>
    </border>
    <border diagonalUp="false" diagonalDown="false">
      <left/>
      <right style="thin"/>
      <top style="thin"/>
      <bottom/>
      <diagonal/>
    </border>
    <border diagonalUp="false" diagonalDown="false">
      <left/>
      <right style="thin"/>
      <top/>
      <bottom/>
      <diagonal/>
    </border>
    <border diagonalUp="false" diagonalDown="false">
      <left style="thin"/>
      <right style="thin"/>
      <top/>
      <bottom style="thin"/>
      <diagonal/>
    </border>
    <border diagonalUp="false" diagonalDown="false">
      <left/>
      <right/>
      <top/>
      <bottom style="thin"/>
      <diagonal/>
    </border>
    <border diagonalUp="false" diagonalDown="false">
      <left/>
      <right style="thin"/>
      <top/>
      <bottom style="thin"/>
      <diagonal/>
    </border>
    <border diagonalUp="false" diagonalDown="false">
      <left/>
      <right/>
      <top/>
      <bottom style="hair"/>
      <diagonal/>
    </border>
    <border diagonalUp="false" diagonalDown="false">
      <left/>
      <right/>
      <top style="hair"/>
      <bottom style="hair"/>
      <diagonal/>
    </border>
    <border diagonalUp="false" diagonalDown="false">
      <left/>
      <right/>
      <top style="hair"/>
      <botto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right style="medium"/>
      <top/>
      <bottom style="thin"/>
      <diagonal/>
    </border>
    <border diagonalUp="false" diagonalDown="false">
      <left/>
      <right/>
      <top/>
      <bottom style="dotted"/>
      <diagonal/>
    </border>
    <border diagonalUp="false" diagonalDown="false">
      <left/>
      <right/>
      <top style="dotted"/>
      <bottom style="dotted"/>
      <diagonal/>
    </border>
    <border diagonalUp="false" diagonalDown="false">
      <left style="medium"/>
      <right/>
      <top style="medium"/>
      <bottom style="medium"/>
      <diagonal/>
    </border>
    <border diagonalUp="false" diagonalDown="false">
      <left/>
      <right/>
      <top style="medium"/>
      <bottom style="medium"/>
      <diagonal/>
    </border>
    <border diagonalUp="false" diagonalDown="false">
      <left/>
      <right style="medium"/>
      <top style="medium"/>
      <bottom style="medium"/>
      <diagonal/>
    </border>
  </borders>
  <cellStyleXfs count="29">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6"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32" fillId="0" borderId="0" applyFont="true" applyBorder="false" applyAlignment="true" applyProtection="false">
      <alignment horizontal="general" vertical="bottom" textRotation="0" wrapText="false" indent="0" shrinkToFit="false"/>
    </xf>
    <xf numFmtId="165" fontId="4" fillId="0" borderId="0" applyFont="true" applyBorder="true" applyAlignment="true" applyProtection="true">
      <alignment horizontal="general" vertical="bottom" textRotation="0" wrapText="false" indent="0" shrinkToFit="false"/>
      <protection locked="true" hidden="false"/>
    </xf>
    <xf numFmtId="166"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8" fontId="0" fillId="0" borderId="0" applyFont="true" applyBorder="false" applyAlignment="true" applyProtection="false">
      <alignment horizontal="general" vertical="bottom" textRotation="0" wrapText="false" indent="0" shrinkToFit="false"/>
    </xf>
    <xf numFmtId="169" fontId="4" fillId="0" borderId="0" applyFont="true" applyBorder="true" applyAlignment="true" applyProtection="true">
      <alignment horizontal="general" vertical="bottom" textRotation="0" wrapText="false" indent="0" shrinkToFit="false"/>
      <protection locked="true" hidden="false"/>
    </xf>
  </cellStyleXfs>
  <cellXfs count="531">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9" fontId="6" fillId="0" borderId="0" xfId="28"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9" fontId="7" fillId="0" borderId="0" xfId="28"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left"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2" borderId="2" xfId="0" applyFont="true" applyBorder="true" applyAlignment="false" applyProtection="false">
      <alignment horizontal="general" vertical="bottom" textRotation="0" wrapText="false" indent="0" shrinkToFit="false"/>
      <protection locked="true" hidden="false"/>
    </xf>
    <xf numFmtId="164" fontId="12" fillId="2" borderId="3" xfId="0" applyFont="true" applyBorder="true" applyAlignment="false" applyProtection="false">
      <alignment horizontal="general" vertical="bottom" textRotation="0" wrapText="false" indent="0" shrinkToFit="false"/>
      <protection locked="true" hidden="false"/>
    </xf>
    <xf numFmtId="164" fontId="12" fillId="2" borderId="3" xfId="0" applyFont="true" applyBorder="true" applyAlignment="true" applyProtection="false">
      <alignment horizontal="general" vertical="top" textRotation="0" wrapText="false" indent="0" shrinkToFit="false"/>
      <protection locked="true" hidden="false"/>
    </xf>
    <xf numFmtId="169" fontId="12" fillId="2" borderId="4" xfId="28" applyFont="true" applyBorder="true" applyAlignment="true" applyProtection="false">
      <alignment horizontal="center" vertical="bottom" textRotation="0" wrapText="tru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13" fillId="0" borderId="5" xfId="26" applyFont="true" applyBorder="true" applyAlignment="true" applyProtection="false">
      <alignment horizontal="left" vertical="center" textRotation="0" wrapText="true" indent="0" shrinkToFit="false"/>
      <protection locked="true" hidden="false"/>
    </xf>
    <xf numFmtId="164" fontId="12" fillId="0" borderId="5" xfId="26" applyFont="true" applyBorder="true" applyAlignment="true" applyProtection="false">
      <alignment horizontal="left" vertical="center" textRotation="0" wrapText="true" indent="0" shrinkToFit="false"/>
      <protection locked="true" hidden="false"/>
    </xf>
    <xf numFmtId="164" fontId="7" fillId="0" borderId="5" xfId="26" applyFont="true" applyBorder="true" applyAlignment="true" applyProtection="false">
      <alignment horizontal="left" vertical="center" textRotation="0" wrapText="true" indent="0" shrinkToFit="false"/>
      <protection locked="true" hidden="false"/>
    </xf>
    <xf numFmtId="164" fontId="7" fillId="0" borderId="5" xfId="26" applyFont="true" applyBorder="true" applyAlignment="true" applyProtection="false">
      <alignment horizontal="left" vertical="top" textRotation="0" wrapText="true" indent="0" shrinkToFit="false"/>
      <protection locked="true" hidden="false"/>
    </xf>
    <xf numFmtId="164" fontId="7" fillId="0" borderId="5" xfId="25" applyFont="true" applyBorder="true" applyAlignment="true" applyProtection="false">
      <alignment horizontal="left" vertical="center" textRotation="0" wrapText="true" indent="0" shrinkToFit="false"/>
      <protection locked="true" hidden="false"/>
    </xf>
    <xf numFmtId="169" fontId="7" fillId="0" borderId="5" xfId="28" applyFont="true" applyBorder="true" applyAlignment="false" applyProtection="false">
      <alignment horizontal="general" vertical="bottom" textRotation="0" wrapText="false" indent="0" shrinkToFit="false"/>
      <protection locked="true" hidden="false"/>
    </xf>
    <xf numFmtId="164" fontId="13" fillId="3" borderId="5" xfId="26" applyFont="true" applyBorder="true" applyAlignment="true" applyProtection="false">
      <alignment horizontal="left" vertical="center" textRotation="0" wrapText="true" indent="0" shrinkToFit="false"/>
      <protection locked="true" hidden="false"/>
    </xf>
    <xf numFmtId="164" fontId="12" fillId="3" borderId="5" xfId="26" applyFont="true" applyBorder="true" applyAlignment="true" applyProtection="false">
      <alignment horizontal="left" vertical="center" textRotation="0" wrapText="true" indent="0" shrinkToFit="false"/>
      <protection locked="true" hidden="false"/>
    </xf>
    <xf numFmtId="164" fontId="7" fillId="3" borderId="5" xfId="26" applyFont="true" applyBorder="true" applyAlignment="true" applyProtection="false">
      <alignment horizontal="left" vertical="center" textRotation="0" wrapText="true" indent="0" shrinkToFit="false"/>
      <protection locked="true" hidden="false"/>
    </xf>
    <xf numFmtId="164" fontId="7" fillId="3" borderId="5" xfId="26" applyFont="true" applyBorder="true" applyAlignment="true" applyProtection="false">
      <alignment horizontal="left" vertical="top" textRotation="0" wrapText="true" indent="0" shrinkToFit="false"/>
      <protection locked="true" hidden="false"/>
    </xf>
    <xf numFmtId="164" fontId="7" fillId="3" borderId="5" xfId="25" applyFont="true" applyBorder="true" applyAlignment="true" applyProtection="false">
      <alignment horizontal="left" vertical="center" textRotation="0" wrapText="true" indent="0" shrinkToFit="false"/>
      <protection locked="true" hidden="false"/>
    </xf>
    <xf numFmtId="169" fontId="7" fillId="3" borderId="5" xfId="28" applyFont="true" applyBorder="true" applyAlignment="false" applyProtection="false">
      <alignment horizontal="general" vertical="bottom" textRotation="0" wrapText="false" indent="0" shrinkToFit="false"/>
      <protection locked="true" hidden="false"/>
    </xf>
    <xf numFmtId="164" fontId="14" fillId="3" borderId="5" xfId="26" applyFont="true" applyBorder="true" applyAlignment="true" applyProtection="false">
      <alignment horizontal="left" vertical="center" textRotation="0" wrapText="true" indent="0" shrinkToFit="false"/>
      <protection locked="true" hidden="false"/>
    </xf>
    <xf numFmtId="164" fontId="12" fillId="3" borderId="5" xfId="25" applyFont="true" applyBorder="true" applyAlignment="true" applyProtection="false">
      <alignment horizontal="left" vertical="center" textRotation="0" wrapText="false" indent="0" shrinkToFit="false"/>
      <protection locked="true" hidden="false"/>
    </xf>
    <xf numFmtId="164" fontId="7" fillId="3" borderId="5" xfId="25" applyFont="true" applyBorder="true" applyAlignment="true" applyProtection="false">
      <alignment horizontal="left"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9" fontId="7" fillId="4" borderId="5" xfId="28" applyFont="true" applyBorder="tru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13" fillId="6" borderId="5" xfId="26" applyFont="true" applyBorder="true" applyAlignment="true" applyProtection="false">
      <alignment horizontal="left" vertical="center" textRotation="0" wrapText="true" indent="0" shrinkToFit="false"/>
      <protection locked="true" hidden="false"/>
    </xf>
    <xf numFmtId="164" fontId="12" fillId="6" borderId="5" xfId="25" applyFont="true" applyBorder="true" applyAlignment="true" applyProtection="false">
      <alignment horizontal="left" vertical="center" textRotation="0" wrapText="false" indent="0" shrinkToFit="false"/>
      <protection locked="true" hidden="false"/>
    </xf>
    <xf numFmtId="164" fontId="7" fillId="6" borderId="5" xfId="26" applyFont="true" applyBorder="true" applyAlignment="true" applyProtection="false">
      <alignment horizontal="left" vertical="center" textRotation="0" wrapText="true" indent="0" shrinkToFit="false"/>
      <protection locked="true" hidden="false"/>
    </xf>
    <xf numFmtId="164" fontId="7" fillId="6" borderId="5" xfId="25" applyFont="true" applyBorder="true" applyAlignment="true" applyProtection="false">
      <alignment horizontal="left" vertical="top" textRotation="0" wrapText="true" indent="0" shrinkToFit="false"/>
      <protection locked="true" hidden="false"/>
    </xf>
    <xf numFmtId="164" fontId="7" fillId="6" borderId="5" xfId="25" applyFont="true" applyBorder="true" applyAlignment="true" applyProtection="false">
      <alignment horizontal="left" vertical="center" textRotation="0" wrapText="true" indent="0" shrinkToFit="false"/>
      <protection locked="true" hidden="false"/>
    </xf>
    <xf numFmtId="169" fontId="7" fillId="6" borderId="5" xfId="28" applyFont="true" applyBorder="tru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6" xfId="0" applyFont="true" applyBorder="tru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3" fillId="6" borderId="7" xfId="26" applyFont="true" applyBorder="true" applyAlignment="true" applyProtection="false">
      <alignment horizontal="left" vertical="center" textRotation="0" wrapText="true" indent="0" shrinkToFit="false"/>
      <protection locked="true" hidden="false"/>
    </xf>
    <xf numFmtId="164" fontId="12" fillId="6" borderId="8" xfId="25" applyFont="true" applyBorder="true" applyAlignment="true" applyProtection="false">
      <alignment horizontal="left" vertical="center" textRotation="0" wrapText="false" indent="0" shrinkToFit="false"/>
      <protection locked="true" hidden="false"/>
    </xf>
    <xf numFmtId="164" fontId="7" fillId="6" borderId="8" xfId="26" applyFont="true" applyBorder="true" applyAlignment="true" applyProtection="false">
      <alignment horizontal="left" vertical="center" textRotation="0" wrapText="true" indent="0" shrinkToFit="false"/>
      <protection locked="true" hidden="false"/>
    </xf>
    <xf numFmtId="164" fontId="7" fillId="6" borderId="8" xfId="25" applyFont="true" applyBorder="true" applyAlignment="true" applyProtection="false">
      <alignment horizontal="left" vertical="top" textRotation="0" wrapText="true" indent="0" shrinkToFit="false"/>
      <protection locked="true" hidden="false"/>
    </xf>
    <xf numFmtId="164" fontId="7" fillId="6" borderId="8" xfId="25" applyFont="true" applyBorder="true" applyAlignment="true" applyProtection="false">
      <alignment horizontal="left" vertical="center" textRotation="0" wrapText="true" indent="0" shrinkToFit="false"/>
      <protection locked="true" hidden="false"/>
    </xf>
    <xf numFmtId="169" fontId="7" fillId="6" borderId="9" xfId="28" applyFont="true" applyBorder="true" applyAlignment="false" applyProtection="false">
      <alignment horizontal="general" vertical="bottom" textRotation="0" wrapText="false" indent="0" shrinkToFit="false"/>
      <protection locked="true" hidden="false"/>
    </xf>
    <xf numFmtId="164" fontId="14" fillId="7" borderId="5" xfId="26" applyFont="true" applyBorder="true" applyAlignment="true" applyProtection="false">
      <alignment horizontal="left" vertical="center" textRotation="0" wrapText="true" indent="0" shrinkToFit="false"/>
      <protection locked="true" hidden="false"/>
    </xf>
    <xf numFmtId="164" fontId="13" fillId="8" borderId="5" xfId="26" applyFont="true" applyBorder="true" applyAlignment="true" applyProtection="false">
      <alignment horizontal="left" vertical="center" textRotation="0" wrapText="true" indent="0" shrinkToFit="false"/>
      <protection locked="true" hidden="false"/>
    </xf>
    <xf numFmtId="164" fontId="7" fillId="8" borderId="5" xfId="26" applyFont="true" applyBorder="true" applyAlignment="true" applyProtection="false">
      <alignment horizontal="left" vertical="center" textRotation="0" wrapText="true" indent="0" shrinkToFit="false"/>
      <protection locked="true" hidden="false"/>
    </xf>
    <xf numFmtId="164" fontId="7" fillId="8" borderId="5" xfId="25" applyFont="true" applyBorder="true" applyAlignment="true" applyProtection="false">
      <alignment horizontal="left" vertical="top" textRotation="0" wrapText="true" indent="0" shrinkToFit="false"/>
      <protection locked="true" hidden="false"/>
    </xf>
    <xf numFmtId="164" fontId="7" fillId="8" borderId="5" xfId="25" applyFont="true" applyBorder="true" applyAlignment="true" applyProtection="false">
      <alignment horizontal="left" vertical="center" textRotation="0" wrapText="true" indent="0" shrinkToFit="false"/>
      <protection locked="true" hidden="false"/>
    </xf>
    <xf numFmtId="169" fontId="7" fillId="8" borderId="5" xfId="28" applyFont="true" applyBorder="true" applyAlignment="false" applyProtection="false">
      <alignment horizontal="general" vertical="bottom" textRotation="0" wrapText="false" indent="0" shrinkToFit="false"/>
      <protection locked="true" hidden="false"/>
    </xf>
    <xf numFmtId="164" fontId="7" fillId="0" borderId="6" xfId="0" applyFont="true" applyBorder="true" applyAlignment="false" applyProtection="false">
      <alignment horizontal="general" vertical="bottom" textRotation="0" wrapText="false" indent="0" shrinkToFit="false"/>
      <protection locked="true" hidden="false"/>
    </xf>
    <xf numFmtId="164" fontId="6" fillId="5" borderId="0" xfId="0" applyFont="true" applyBorder="false" applyAlignment="false" applyProtection="false">
      <alignment horizontal="general" vertical="bottom" textRotation="0" wrapText="false" indent="0" shrinkToFit="false"/>
      <protection locked="true" hidden="false"/>
    </xf>
    <xf numFmtId="164" fontId="19" fillId="8" borderId="5" xfId="26" applyFont="true" applyBorder="true" applyAlignment="true" applyProtection="false">
      <alignment horizontal="left" vertical="center" textRotation="0" wrapText="true" indent="0" shrinkToFit="false"/>
      <protection locked="true" hidden="false"/>
    </xf>
    <xf numFmtId="164" fontId="17" fillId="8" borderId="5" xfId="26" applyFont="true" applyBorder="true" applyAlignment="true" applyProtection="false">
      <alignment horizontal="left" vertical="center" textRotation="0" wrapText="true" indent="0" shrinkToFit="false"/>
      <protection locked="true" hidden="false"/>
    </xf>
    <xf numFmtId="164" fontId="17" fillId="8" borderId="5" xfId="25" applyFont="true" applyBorder="true" applyAlignment="true" applyProtection="false">
      <alignment horizontal="left" vertical="top" textRotation="0" wrapText="true" indent="0" shrinkToFit="false"/>
      <protection locked="true" hidden="false"/>
    </xf>
    <xf numFmtId="164" fontId="17" fillId="8" borderId="5" xfId="25" applyFont="true" applyBorder="true" applyAlignment="true" applyProtection="false">
      <alignment horizontal="left" vertical="center" textRotation="0" wrapText="true" indent="0" shrinkToFit="false"/>
      <protection locked="true" hidden="false"/>
    </xf>
    <xf numFmtId="169" fontId="17" fillId="8" borderId="5" xfId="28" applyFont="true" applyBorder="tru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7" fillId="0" borderId="6"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21" fillId="5" borderId="0" xfId="0" applyFont="true" applyBorder="false" applyAlignment="false" applyProtection="false">
      <alignment horizontal="general" vertical="bottom" textRotation="0" wrapText="false" indent="0" shrinkToFit="false"/>
      <protection locked="true" hidden="false"/>
    </xf>
    <xf numFmtId="164" fontId="22" fillId="5" borderId="0" xfId="0" applyFont="true" applyBorder="false" applyAlignment="false" applyProtection="false">
      <alignment horizontal="general" vertical="bottom" textRotation="0" wrapText="false" indent="0" shrinkToFit="false"/>
      <protection locked="true" hidden="false"/>
    </xf>
    <xf numFmtId="164" fontId="23" fillId="9" borderId="5" xfId="26" applyFont="true" applyBorder="true" applyAlignment="true" applyProtection="false">
      <alignment horizontal="left" vertical="center" textRotation="0" wrapText="true" indent="0" shrinkToFit="false"/>
      <protection locked="true" hidden="false"/>
    </xf>
    <xf numFmtId="164" fontId="21" fillId="10" borderId="0" xfId="0" applyFont="true" applyBorder="false" applyAlignment="false" applyProtection="false">
      <alignment horizontal="general" vertical="bottom" textRotation="0" wrapText="false" indent="0" shrinkToFit="false"/>
      <protection locked="true" hidden="false"/>
    </xf>
    <xf numFmtId="164" fontId="22" fillId="10" borderId="0" xfId="0" applyFont="true" applyBorder="false" applyAlignment="false" applyProtection="false">
      <alignment horizontal="general" vertical="bottom" textRotation="0" wrapText="false" indent="0" shrinkToFit="false"/>
      <protection locked="true" hidden="false"/>
    </xf>
    <xf numFmtId="164" fontId="19" fillId="10" borderId="5" xfId="26" applyFont="true" applyBorder="true" applyAlignment="true" applyProtection="false">
      <alignment horizontal="left" vertical="center" textRotation="0" wrapText="true" indent="0" shrinkToFit="false"/>
      <protection locked="true" hidden="false"/>
    </xf>
    <xf numFmtId="164" fontId="17" fillId="10" borderId="5" xfId="26" applyFont="true" applyBorder="true" applyAlignment="true" applyProtection="false">
      <alignment horizontal="left" vertical="center" textRotation="0" wrapText="true" indent="0" shrinkToFit="false"/>
      <protection locked="true" hidden="false"/>
    </xf>
    <xf numFmtId="164" fontId="17" fillId="10" borderId="5" xfId="25" applyFont="true" applyBorder="true" applyAlignment="true" applyProtection="false">
      <alignment horizontal="left" vertical="top" textRotation="0" wrapText="true" indent="0" shrinkToFit="false"/>
      <protection locked="true" hidden="false"/>
    </xf>
    <xf numFmtId="164" fontId="17" fillId="10" borderId="5" xfId="25" applyFont="true" applyBorder="true" applyAlignment="true" applyProtection="false">
      <alignment horizontal="left" vertical="center" textRotation="0" wrapText="true" indent="0" shrinkToFit="false"/>
      <protection locked="true" hidden="false"/>
    </xf>
    <xf numFmtId="169" fontId="17" fillId="10" borderId="5" xfId="28" applyFont="true" applyBorder="true" applyAlignment="false" applyProtection="false">
      <alignment horizontal="general" vertical="bottom" textRotation="0" wrapText="false" indent="0" shrinkToFit="false"/>
      <protection locked="true" hidden="false"/>
    </xf>
    <xf numFmtId="164" fontId="13" fillId="11" borderId="0" xfId="26" applyFont="true" applyBorder="false" applyAlignment="true" applyProtection="false">
      <alignment horizontal="left" vertical="center" textRotation="0" wrapText="true" indent="0" shrinkToFit="false"/>
      <protection locked="true" hidden="false"/>
    </xf>
    <xf numFmtId="164" fontId="12" fillId="0" borderId="0" xfId="26" applyFont="true" applyBorder="false" applyAlignment="true" applyProtection="false">
      <alignment horizontal="left" vertical="center" textRotation="0" wrapText="true" indent="0" shrinkToFit="false"/>
      <protection locked="true" hidden="false"/>
    </xf>
    <xf numFmtId="164" fontId="7" fillId="0" borderId="0" xfId="26" applyFont="true" applyBorder="false" applyAlignment="true" applyProtection="false">
      <alignment horizontal="left" vertical="center" textRotation="0" wrapText="true" indent="0" shrinkToFit="false"/>
      <protection locked="true" hidden="false"/>
    </xf>
    <xf numFmtId="164" fontId="7" fillId="0" borderId="0" xfId="26" applyFont="true" applyBorder="false" applyAlignment="true" applyProtection="false">
      <alignment horizontal="left" vertical="top" textRotation="0" wrapText="true" indent="0" shrinkToFit="false"/>
      <protection locked="true" hidden="false"/>
    </xf>
    <xf numFmtId="164" fontId="7" fillId="0" borderId="0" xfId="25" applyFont="true" applyBorder="false" applyAlignment="true" applyProtection="false">
      <alignment horizontal="left" vertical="center" textRotation="0" wrapText="true" indent="0" shrinkToFit="false"/>
      <protection locked="true" hidden="false"/>
    </xf>
    <xf numFmtId="164" fontId="9" fillId="12" borderId="1" xfId="0" applyFont="true" applyBorder="true" applyAlignment="true" applyProtection="false">
      <alignment horizontal="left" vertical="bottom" textRotation="0" wrapText="false" indent="0" shrinkToFit="false"/>
      <protection locked="true" hidden="false"/>
    </xf>
    <xf numFmtId="164" fontId="12" fillId="12" borderId="2" xfId="0" applyFont="true" applyBorder="true" applyAlignment="false" applyProtection="false">
      <alignment horizontal="general" vertical="bottom" textRotation="0" wrapText="false" indent="0" shrinkToFit="false"/>
      <protection locked="true" hidden="false"/>
    </xf>
    <xf numFmtId="164" fontId="12" fillId="12" borderId="3" xfId="0" applyFont="true" applyBorder="true" applyAlignment="false" applyProtection="false">
      <alignment horizontal="general" vertical="bottom" textRotation="0" wrapText="false" indent="0" shrinkToFit="false"/>
      <protection locked="true" hidden="false"/>
    </xf>
    <xf numFmtId="164" fontId="12" fillId="12" borderId="3" xfId="0" applyFont="true" applyBorder="true" applyAlignment="true" applyProtection="false">
      <alignment horizontal="general" vertical="top" textRotation="0" wrapText="false" indent="0" shrinkToFit="false"/>
      <protection locked="true" hidden="false"/>
    </xf>
    <xf numFmtId="169" fontId="12" fillId="12" borderId="4" xfId="28" applyFont="true" applyBorder="true" applyAlignment="true" applyProtection="false">
      <alignment horizontal="center" vertical="bottom" textRotation="0" wrapText="true" indent="0" shrinkToFit="false"/>
      <protection locked="true" hidden="false"/>
    </xf>
    <xf numFmtId="164" fontId="13" fillId="13" borderId="5" xfId="26" applyFont="true" applyBorder="true" applyAlignment="true" applyProtection="false">
      <alignment horizontal="left" vertical="center" textRotation="0" wrapText="true" indent="0" shrinkToFit="false"/>
      <protection locked="true" hidden="false"/>
    </xf>
    <xf numFmtId="164" fontId="12" fillId="13" borderId="5" xfId="25" applyFont="true" applyBorder="true" applyAlignment="true" applyProtection="false">
      <alignment horizontal="left" vertical="center" textRotation="0" wrapText="false" indent="0" shrinkToFit="false"/>
      <protection locked="true" hidden="false"/>
    </xf>
    <xf numFmtId="164" fontId="7" fillId="13" borderId="5" xfId="26" applyFont="true" applyBorder="true" applyAlignment="true" applyProtection="false">
      <alignment horizontal="left" vertical="center" textRotation="0" wrapText="true" indent="0" shrinkToFit="false"/>
      <protection locked="true" hidden="false"/>
    </xf>
    <xf numFmtId="164" fontId="7" fillId="13" borderId="5" xfId="26" applyFont="true" applyBorder="true" applyAlignment="true" applyProtection="false">
      <alignment horizontal="left" vertical="top" textRotation="0" wrapText="true" indent="0" shrinkToFit="false"/>
      <protection locked="true" hidden="false"/>
    </xf>
    <xf numFmtId="169" fontId="7" fillId="13" borderId="5" xfId="28" applyFont="true" applyBorder="true" applyAlignment="false" applyProtection="false">
      <alignment horizontal="general" vertical="bottom" textRotation="0" wrapText="false" indent="0" shrinkToFit="false"/>
      <protection locked="true" hidden="false"/>
    </xf>
    <xf numFmtId="164" fontId="7" fillId="13" borderId="5" xfId="25" applyFont="true" applyBorder="true" applyAlignment="true" applyProtection="false">
      <alignment horizontal="left" vertical="top" textRotation="0" wrapText="true" indent="0" shrinkToFit="false"/>
      <protection locked="true" hidden="false"/>
    </xf>
    <xf numFmtId="164" fontId="13" fillId="13" borderId="5" xfId="26" applyFont="true" applyBorder="true" applyAlignment="true" applyProtection="false">
      <alignment horizontal="right" vertical="center" textRotation="0" wrapText="true" indent="0" shrinkToFit="false"/>
      <protection locked="true" hidden="false"/>
    </xf>
    <xf numFmtId="164" fontId="7" fillId="13" borderId="8" xfId="25" applyFont="true" applyBorder="true" applyAlignment="true" applyProtection="false">
      <alignment horizontal="left" vertical="top" textRotation="0" wrapText="true" indent="0" shrinkToFit="false"/>
      <protection locked="true" hidden="false"/>
    </xf>
    <xf numFmtId="164" fontId="7" fillId="13" borderId="0" xfId="26" applyFont="true" applyBorder="false" applyAlignment="true" applyProtection="false">
      <alignment horizontal="left" vertical="top" textRotation="0" wrapText="true" indent="0" shrinkToFit="false"/>
      <protection locked="true" hidden="false"/>
    </xf>
    <xf numFmtId="164" fontId="7" fillId="13" borderId="5" xfId="0" applyFont="true" applyBorder="true" applyAlignment="false" applyProtection="false">
      <alignment horizontal="general" vertical="bottom" textRotation="0" wrapText="false" indent="0" shrinkToFit="false"/>
      <protection locked="true" hidden="false"/>
    </xf>
    <xf numFmtId="164" fontId="9" fillId="8" borderId="1" xfId="0" applyFont="true" applyBorder="true" applyAlignment="true" applyProtection="false">
      <alignment horizontal="left" vertical="bottom" textRotation="0" wrapText="false" indent="0" shrinkToFit="false"/>
      <protection locked="true" hidden="false"/>
    </xf>
    <xf numFmtId="164" fontId="12" fillId="8" borderId="2" xfId="0" applyFont="true" applyBorder="true" applyAlignment="false" applyProtection="false">
      <alignment horizontal="general" vertical="bottom" textRotation="0" wrapText="false" indent="0" shrinkToFit="false"/>
      <protection locked="true" hidden="false"/>
    </xf>
    <xf numFmtId="164" fontId="12" fillId="8" borderId="3" xfId="0" applyFont="true" applyBorder="true" applyAlignment="false" applyProtection="false">
      <alignment horizontal="general" vertical="bottom" textRotation="0" wrapText="false" indent="0" shrinkToFit="false"/>
      <protection locked="true" hidden="false"/>
    </xf>
    <xf numFmtId="164" fontId="12" fillId="8" borderId="3" xfId="0" applyFont="true" applyBorder="true" applyAlignment="true" applyProtection="false">
      <alignment horizontal="general" vertical="top" textRotation="0" wrapText="false" indent="0" shrinkToFit="false"/>
      <protection locked="true" hidden="false"/>
    </xf>
    <xf numFmtId="169" fontId="12" fillId="8" borderId="4" xfId="28" applyFont="true" applyBorder="true" applyAlignment="true" applyProtection="false">
      <alignment horizontal="center" vertical="bottom" textRotation="0" wrapText="true" indent="0" shrinkToFit="false"/>
      <protection locked="true" hidden="false"/>
    </xf>
    <xf numFmtId="164" fontId="13" fillId="14" borderId="5" xfId="26" applyFont="true" applyBorder="true" applyAlignment="true" applyProtection="false">
      <alignment horizontal="left" vertical="center" textRotation="0" wrapText="true" indent="0" shrinkToFit="false"/>
      <protection locked="true" hidden="false"/>
    </xf>
    <xf numFmtId="164" fontId="12" fillId="14" borderId="5" xfId="26" applyFont="true" applyBorder="true" applyAlignment="true" applyProtection="false">
      <alignment horizontal="left" vertical="center" textRotation="0" wrapText="true" indent="0" shrinkToFit="false"/>
      <protection locked="true" hidden="false"/>
    </xf>
    <xf numFmtId="164" fontId="7" fillId="14" borderId="5" xfId="26" applyFont="true" applyBorder="true" applyAlignment="true" applyProtection="false">
      <alignment horizontal="left" vertical="center" textRotation="0" wrapText="true" indent="0" shrinkToFit="false"/>
      <protection locked="true" hidden="false"/>
    </xf>
    <xf numFmtId="164" fontId="7" fillId="14" borderId="5" xfId="26" applyFont="true" applyBorder="true" applyAlignment="true" applyProtection="false">
      <alignment horizontal="left" vertical="top" textRotation="0" wrapText="true" indent="0" shrinkToFit="false"/>
      <protection locked="true" hidden="false"/>
    </xf>
    <xf numFmtId="169" fontId="7" fillId="14" borderId="5" xfId="28" applyFont="true" applyBorder="true" applyAlignment="false" applyProtection="false">
      <alignment horizontal="general" vertical="bottom" textRotation="0" wrapText="false" indent="0" shrinkToFit="false"/>
      <protection locked="true" hidden="false"/>
    </xf>
    <xf numFmtId="164" fontId="12" fillId="14" borderId="5" xfId="25" applyFont="true" applyBorder="true" applyAlignment="true" applyProtection="false">
      <alignment horizontal="left" vertical="center" textRotation="0" wrapText="true" indent="0" shrinkToFit="false"/>
      <protection locked="true" hidden="false"/>
    </xf>
    <xf numFmtId="164" fontId="13" fillId="14" borderId="5" xfId="26" applyFont="true" applyBorder="true" applyAlignment="true" applyProtection="false">
      <alignment horizontal="right" vertical="center" textRotation="0" wrapText="true" indent="0" shrinkToFit="false"/>
      <protection locked="true" hidden="false"/>
    </xf>
    <xf numFmtId="164" fontId="12" fillId="14" borderId="5" xfId="25" applyFont="true" applyBorder="true" applyAlignment="true" applyProtection="false">
      <alignment horizontal="left" vertical="center" textRotation="0" wrapText="false" indent="0" shrinkToFit="false"/>
      <protection locked="true" hidden="false"/>
    </xf>
    <xf numFmtId="164" fontId="7" fillId="14" borderId="5" xfId="25" applyFont="true" applyBorder="true" applyAlignment="true" applyProtection="false">
      <alignment horizontal="left" vertical="center" textRotation="0" wrapText="false" indent="0" shrinkToFit="false"/>
      <protection locked="true" hidden="false"/>
    </xf>
    <xf numFmtId="164" fontId="7" fillId="14" borderId="5" xfId="25" applyFont="true" applyBorder="true" applyAlignment="true" applyProtection="false">
      <alignment horizontal="left" vertical="center" textRotation="0" wrapText="true" indent="0" shrinkToFit="false"/>
      <protection locked="true" hidden="false"/>
    </xf>
    <xf numFmtId="164" fontId="7" fillId="14" borderId="0" xfId="26" applyFont="true" applyBorder="false" applyAlignment="true" applyProtection="false">
      <alignment horizontal="left" vertical="center" textRotation="0" wrapText="true" indent="0" shrinkToFit="false"/>
      <protection locked="true" hidden="false"/>
    </xf>
    <xf numFmtId="164" fontId="9" fillId="15" borderId="1" xfId="0" applyFont="true" applyBorder="true" applyAlignment="true" applyProtection="false">
      <alignment horizontal="left" vertical="bottom" textRotation="0" wrapText="false" indent="0" shrinkToFit="false"/>
      <protection locked="true" hidden="false"/>
    </xf>
    <xf numFmtId="164" fontId="12" fillId="15" borderId="2" xfId="0" applyFont="true" applyBorder="true" applyAlignment="false" applyProtection="false">
      <alignment horizontal="general" vertical="bottom" textRotation="0" wrapText="false" indent="0" shrinkToFit="false"/>
      <protection locked="true" hidden="false"/>
    </xf>
    <xf numFmtId="164" fontId="12" fillId="15" borderId="3" xfId="0" applyFont="true" applyBorder="true" applyAlignment="false" applyProtection="false">
      <alignment horizontal="general" vertical="bottom" textRotation="0" wrapText="false" indent="0" shrinkToFit="false"/>
      <protection locked="true" hidden="false"/>
    </xf>
    <xf numFmtId="164" fontId="12" fillId="15" borderId="3" xfId="0" applyFont="true" applyBorder="true" applyAlignment="true" applyProtection="false">
      <alignment horizontal="general" vertical="top" textRotation="0" wrapText="false" indent="0" shrinkToFit="false"/>
      <protection locked="true" hidden="false"/>
    </xf>
    <xf numFmtId="169" fontId="12" fillId="15" borderId="4" xfId="28" applyFont="true" applyBorder="true" applyAlignment="true" applyProtection="false">
      <alignment horizontal="center" vertical="bottom" textRotation="0" wrapText="true" indent="0" shrinkToFit="false"/>
      <protection locked="true" hidden="false"/>
    </xf>
    <xf numFmtId="164" fontId="14" fillId="16" borderId="10" xfId="26" applyFont="true" applyBorder="true" applyAlignment="true" applyProtection="false">
      <alignment horizontal="left" vertical="center" textRotation="0" wrapText="true" indent="0" shrinkToFit="false"/>
      <protection locked="true" hidden="false"/>
    </xf>
    <xf numFmtId="164" fontId="13" fillId="17" borderId="5" xfId="26" applyFont="true" applyBorder="true" applyAlignment="true" applyProtection="false">
      <alignment horizontal="left" vertical="center" textRotation="0" wrapText="true" indent="0" shrinkToFit="false"/>
      <protection locked="true" hidden="false"/>
    </xf>
    <xf numFmtId="164" fontId="12" fillId="17" borderId="5" xfId="25" applyFont="true" applyBorder="true" applyAlignment="true" applyProtection="false">
      <alignment horizontal="left" vertical="center" textRotation="0" wrapText="false" indent="0" shrinkToFit="false"/>
      <protection locked="true" hidden="false"/>
    </xf>
    <xf numFmtId="164" fontId="7" fillId="17" borderId="5" xfId="26" applyFont="true" applyBorder="true" applyAlignment="true" applyProtection="false">
      <alignment horizontal="left" vertical="center" textRotation="0" wrapText="true" indent="0" shrinkToFit="false"/>
      <protection locked="true" hidden="false"/>
    </xf>
    <xf numFmtId="164" fontId="7" fillId="17" borderId="5" xfId="25" applyFont="true" applyBorder="true" applyAlignment="true" applyProtection="false">
      <alignment horizontal="left" vertical="top" textRotation="0" wrapText="true" indent="0" shrinkToFit="false"/>
      <protection locked="true" hidden="false"/>
    </xf>
    <xf numFmtId="164" fontId="7" fillId="17" borderId="5" xfId="25" applyFont="true" applyBorder="true" applyAlignment="true" applyProtection="false">
      <alignment horizontal="left" vertical="center" textRotation="0" wrapText="true" indent="0" shrinkToFit="false"/>
      <protection locked="true" hidden="false"/>
    </xf>
    <xf numFmtId="169" fontId="7" fillId="17" borderId="5" xfId="28" applyFont="true" applyBorder="true" applyAlignment="true" applyProtection="false">
      <alignment horizontal="right" vertical="bottom" textRotation="0" wrapText="false" indent="0" shrinkToFit="false"/>
      <protection locked="true" hidden="false"/>
    </xf>
    <xf numFmtId="164" fontId="12" fillId="17" borderId="5" xfId="26" applyFont="true" applyBorder="true" applyAlignment="true" applyProtection="false">
      <alignment horizontal="left" vertical="center" textRotation="0" wrapText="true" indent="0" shrinkToFit="false"/>
      <protection locked="true" hidden="false"/>
    </xf>
    <xf numFmtId="164" fontId="7" fillId="17" borderId="5" xfId="26" applyFont="true" applyBorder="true" applyAlignment="true" applyProtection="false">
      <alignment horizontal="left" vertical="top" textRotation="0" wrapText="true" indent="0" shrinkToFit="false"/>
      <protection locked="true" hidden="false"/>
    </xf>
    <xf numFmtId="169" fontId="7" fillId="17" borderId="5" xfId="28" applyFont="true" applyBorder="tru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7" fillId="4" borderId="5" xfId="25" applyFont="true" applyBorder="true" applyAlignment="true" applyProtection="false">
      <alignment horizontal="left" vertical="center" textRotation="0" wrapText="true" indent="0" shrinkToFit="false"/>
      <protection locked="true" hidden="false"/>
    </xf>
    <xf numFmtId="164" fontId="7" fillId="4" borderId="5" xfId="26" applyFont="true" applyBorder="true" applyAlignment="true" applyProtection="false">
      <alignment horizontal="left" vertical="center" textRotation="0" wrapText="true" indent="0" shrinkToFit="false"/>
      <protection locked="true" hidden="false"/>
    </xf>
    <xf numFmtId="164" fontId="19" fillId="17" borderId="5" xfId="26" applyFont="true" applyBorder="true" applyAlignment="true" applyProtection="false">
      <alignment horizontal="left" vertical="center" textRotation="0" wrapText="true" indent="0" shrinkToFit="false"/>
      <protection locked="true" hidden="false"/>
    </xf>
    <xf numFmtId="164" fontId="24" fillId="17" borderId="5" xfId="26" applyFont="true" applyBorder="true" applyAlignment="true" applyProtection="false">
      <alignment horizontal="left" vertical="center" textRotation="0" wrapText="true" indent="0" shrinkToFit="false"/>
      <protection locked="true" hidden="false"/>
    </xf>
    <xf numFmtId="164" fontId="17" fillId="17" borderId="5" xfId="25" applyFont="true" applyBorder="true" applyAlignment="true" applyProtection="false">
      <alignment horizontal="left" vertical="center" textRotation="0" wrapText="true" indent="0" shrinkToFit="false"/>
      <protection locked="true" hidden="false"/>
    </xf>
    <xf numFmtId="164" fontId="17" fillId="17" borderId="5" xfId="25" applyFont="true" applyBorder="true" applyAlignment="true" applyProtection="false">
      <alignment horizontal="left" vertical="top" textRotation="0" wrapText="true" indent="0" shrinkToFit="false"/>
      <protection locked="true" hidden="false"/>
    </xf>
    <xf numFmtId="164" fontId="17" fillId="17" borderId="5" xfId="26" applyFont="true" applyBorder="true" applyAlignment="true" applyProtection="false">
      <alignment horizontal="left" vertical="center" textRotation="0" wrapText="true" indent="0" shrinkToFit="false"/>
      <protection locked="true" hidden="false"/>
    </xf>
    <xf numFmtId="169" fontId="17" fillId="17" borderId="5" xfId="28" applyFont="true" applyBorder="true" applyAlignment="false" applyProtection="false">
      <alignment horizontal="general" vertical="bottom" textRotation="0" wrapText="false" indent="0" shrinkToFit="false"/>
      <protection locked="true" hidden="false"/>
    </xf>
    <xf numFmtId="164" fontId="17" fillId="17" borderId="5" xfId="26" applyFont="true" applyBorder="true" applyAlignment="true" applyProtection="false">
      <alignment horizontal="left" vertical="top" textRotation="0" wrapText="true" indent="0" shrinkToFit="false"/>
      <protection locked="true" hidden="false"/>
    </xf>
    <xf numFmtId="164" fontId="14" fillId="16" borderId="5" xfId="26" applyFont="true" applyBorder="true" applyAlignment="true" applyProtection="false">
      <alignment horizontal="left" vertical="center" textRotation="0" wrapText="true" indent="0" shrinkToFit="false"/>
      <protection locked="true" hidden="false"/>
    </xf>
    <xf numFmtId="164" fontId="7" fillId="18" borderId="5" xfId="26" applyFont="true" applyBorder="true" applyAlignment="true" applyProtection="false">
      <alignment horizontal="left" vertical="top" textRotation="0" wrapText="true" indent="0" shrinkToFit="false"/>
      <protection locked="true" hidden="false"/>
    </xf>
    <xf numFmtId="164" fontId="13" fillId="4" borderId="5" xfId="26" applyFont="true" applyBorder="true" applyAlignment="true" applyProtection="false">
      <alignment horizontal="left" vertical="center" textRotation="0" wrapText="true" indent="0" shrinkToFit="false"/>
      <protection locked="true" hidden="false"/>
    </xf>
    <xf numFmtId="164" fontId="12" fillId="4" borderId="5" xfId="26" applyFont="true" applyBorder="true" applyAlignment="true" applyProtection="false">
      <alignment horizontal="left" vertical="center" textRotation="0" wrapText="true" indent="0" shrinkToFit="false"/>
      <protection locked="true" hidden="false"/>
    </xf>
    <xf numFmtId="164" fontId="7" fillId="4" borderId="5" xfId="26" applyFont="true" applyBorder="true" applyAlignment="true" applyProtection="false">
      <alignment horizontal="left" vertical="top" textRotation="0" wrapText="true" indent="0" shrinkToFit="false"/>
      <protection locked="true" hidden="false"/>
    </xf>
    <xf numFmtId="164" fontId="25" fillId="17" borderId="5" xfId="26" applyFont="true" applyBorder="true" applyAlignment="true" applyProtection="false">
      <alignment horizontal="left" vertical="center" textRotation="0" wrapText="true" indent="0" shrinkToFit="false"/>
      <protection locked="true" hidden="false"/>
    </xf>
    <xf numFmtId="169" fontId="7" fillId="17" borderId="5" xfId="28" applyFont="true" applyBorder="true" applyAlignment="true" applyProtection="false">
      <alignment horizontal="center" vertical="bottom" textRotation="0" wrapText="false" indent="0" shrinkToFit="false"/>
      <protection locked="true" hidden="false"/>
    </xf>
    <xf numFmtId="164" fontId="13" fillId="17" borderId="11" xfId="26" applyFont="true" applyBorder="true" applyAlignment="true" applyProtection="false">
      <alignment horizontal="left" vertical="center" textRotation="0" wrapText="true" indent="0" shrinkToFit="false"/>
      <protection locked="true" hidden="false"/>
    </xf>
    <xf numFmtId="164" fontId="12" fillId="17" borderId="11" xfId="25" applyFont="true" applyBorder="true" applyAlignment="true" applyProtection="false">
      <alignment horizontal="left" vertical="center" textRotation="0" wrapText="false" indent="0" shrinkToFit="false"/>
      <protection locked="true" hidden="false"/>
    </xf>
    <xf numFmtId="164" fontId="7" fillId="17" borderId="11" xfId="26" applyFont="true" applyBorder="true" applyAlignment="true" applyProtection="false">
      <alignment horizontal="left" vertical="center" textRotation="0" wrapText="true" indent="0" shrinkToFit="false"/>
      <protection locked="true" hidden="false"/>
    </xf>
    <xf numFmtId="164" fontId="7" fillId="17" borderId="11" xfId="25" applyFont="true" applyBorder="true" applyAlignment="true" applyProtection="false">
      <alignment horizontal="left" vertical="center" textRotation="0" wrapText="true" indent="0" shrinkToFit="false"/>
      <protection locked="true" hidden="false"/>
    </xf>
    <xf numFmtId="164" fontId="13" fillId="17" borderId="7" xfId="26" applyFont="true" applyBorder="true" applyAlignment="true" applyProtection="false">
      <alignment horizontal="left" vertical="center" textRotation="0" wrapText="true" indent="0" shrinkToFit="false"/>
      <protection locked="true" hidden="false"/>
    </xf>
    <xf numFmtId="164" fontId="12" fillId="17" borderId="8" xfId="25" applyFont="true" applyBorder="true" applyAlignment="true" applyProtection="false">
      <alignment horizontal="left" vertical="center" textRotation="0" wrapText="false" indent="0" shrinkToFit="false"/>
      <protection locked="true" hidden="false"/>
    </xf>
    <xf numFmtId="164" fontId="7" fillId="17" borderId="8" xfId="26" applyFont="true" applyBorder="true" applyAlignment="true" applyProtection="false">
      <alignment horizontal="left" vertical="center" textRotation="0" wrapText="true" indent="0" shrinkToFit="false"/>
      <protection locked="true" hidden="false"/>
    </xf>
    <xf numFmtId="164" fontId="7" fillId="17" borderId="8" xfId="26" applyFont="true" applyBorder="true" applyAlignment="true" applyProtection="false">
      <alignment horizontal="left" vertical="top" textRotation="0" wrapText="true" indent="0" shrinkToFit="false"/>
      <protection locked="true" hidden="false"/>
    </xf>
    <xf numFmtId="164" fontId="7" fillId="17" borderId="8" xfId="25" applyFont="true" applyBorder="true" applyAlignment="true" applyProtection="false">
      <alignment horizontal="left" vertical="center" textRotation="0" wrapText="true" indent="0" shrinkToFit="false"/>
      <protection locked="true" hidden="false"/>
    </xf>
    <xf numFmtId="169" fontId="7" fillId="17" borderId="9" xfId="28" applyFont="true" applyBorder="true" applyAlignment="false" applyProtection="false">
      <alignment horizontal="general" vertical="bottom" textRotation="0" wrapText="false" indent="0" shrinkToFit="false"/>
      <protection locked="true" hidden="false"/>
    </xf>
    <xf numFmtId="164" fontId="12" fillId="17" borderId="11" xfId="26" applyFont="true" applyBorder="true" applyAlignment="true" applyProtection="false">
      <alignment horizontal="left" vertical="center" textRotation="0" wrapText="true" indent="0" shrinkToFit="false"/>
      <protection locked="true" hidden="false"/>
    </xf>
    <xf numFmtId="166" fontId="7" fillId="17" borderId="5" xfId="15" applyFont="true" applyBorder="true" applyAlignment="true" applyProtection="true">
      <alignment horizontal="general" vertical="bottom" textRotation="0" wrapText="false" indent="0" shrinkToFit="false"/>
      <protection locked="true" hidden="false"/>
    </xf>
    <xf numFmtId="164" fontId="13" fillId="19" borderId="5" xfId="26" applyFont="true" applyBorder="true" applyAlignment="true" applyProtection="false">
      <alignment horizontal="left" vertical="center" textRotation="0" wrapText="true" indent="0" shrinkToFit="false"/>
      <protection locked="true" hidden="false"/>
    </xf>
    <xf numFmtId="164" fontId="12" fillId="19" borderId="5" xfId="26" applyFont="true" applyBorder="true" applyAlignment="true" applyProtection="false">
      <alignment horizontal="left" vertical="center" textRotation="0" wrapText="true" indent="0" shrinkToFit="false"/>
      <protection locked="true" hidden="false"/>
    </xf>
    <xf numFmtId="164" fontId="7" fillId="19" borderId="5" xfId="26" applyFont="true" applyBorder="true" applyAlignment="true" applyProtection="false">
      <alignment horizontal="left" vertical="center" textRotation="0" wrapText="true" indent="0" shrinkToFit="false"/>
      <protection locked="true" hidden="false"/>
    </xf>
    <xf numFmtId="164" fontId="7" fillId="19" borderId="5" xfId="26" applyFont="true" applyBorder="true" applyAlignment="true" applyProtection="false">
      <alignment horizontal="left" vertical="top" textRotation="0" wrapText="true" indent="0" shrinkToFit="false"/>
      <protection locked="true" hidden="false"/>
    </xf>
    <xf numFmtId="164" fontId="7" fillId="19" borderId="5" xfId="25" applyFont="true" applyBorder="true" applyAlignment="true" applyProtection="false">
      <alignment horizontal="left" vertical="center" textRotation="0" wrapText="true" indent="0" shrinkToFit="false"/>
      <protection locked="true" hidden="false"/>
    </xf>
    <xf numFmtId="169" fontId="7" fillId="19" borderId="5" xfId="28" applyFont="true" applyBorder="true" applyAlignment="false" applyProtection="false">
      <alignment horizontal="general" vertical="bottom" textRotation="0" wrapText="false" indent="0" shrinkToFit="false"/>
      <protection locked="true" hidden="false"/>
    </xf>
    <xf numFmtId="164" fontId="14" fillId="14" borderId="5" xfId="26" applyFont="true" applyBorder="true" applyAlignment="true" applyProtection="false">
      <alignment horizontal="left" vertical="center" textRotation="0" wrapText="true" indent="0" shrinkToFit="false"/>
      <protection locked="true" hidden="false"/>
    </xf>
    <xf numFmtId="166" fontId="7" fillId="14" borderId="5" xfId="15" applyFont="true" applyBorder="true" applyAlignment="true" applyProtection="true">
      <alignment horizontal="general" vertical="bottom" textRotation="0" wrapText="false" indent="0" shrinkToFit="false"/>
      <protection locked="true" hidden="false"/>
    </xf>
    <xf numFmtId="164" fontId="17" fillId="14" borderId="5" xfId="26" applyFont="true" applyBorder="true" applyAlignment="true" applyProtection="false">
      <alignment horizontal="left" vertical="top" textRotation="0" wrapText="true" indent="0" shrinkToFit="false"/>
      <protection locked="true" hidden="false"/>
    </xf>
    <xf numFmtId="164" fontId="7" fillId="0" borderId="5" xfId="0" applyFont="true" applyBorder="true" applyAlignment="false" applyProtection="false">
      <alignment horizontal="general" vertical="bottom" textRotation="0" wrapText="false" indent="0" shrinkToFit="false"/>
      <protection locked="true" hidden="false"/>
    </xf>
    <xf numFmtId="164" fontId="7" fillId="0" borderId="5" xfId="0" applyFont="true" applyBorder="true" applyAlignment="true" applyProtection="false">
      <alignment horizontal="general" vertical="top" textRotation="0" wrapText="false" indent="0" shrinkToFit="false"/>
      <protection locked="true" hidden="false"/>
    </xf>
    <xf numFmtId="170" fontId="7" fillId="0" borderId="5" xfId="0" applyFont="true" applyBorder="true" applyAlignment="true" applyProtection="false">
      <alignment horizontal="left" vertical="top" textRotation="0" wrapText="false" indent="0" shrinkToFit="false"/>
      <protection locked="true" hidden="false"/>
    </xf>
    <xf numFmtId="164" fontId="14" fillId="20" borderId="5" xfId="26" applyFont="true" applyBorder="true" applyAlignment="true" applyProtection="false">
      <alignment horizontal="left" vertical="center" textRotation="0" wrapText="true" indent="0" shrinkToFit="false"/>
      <protection locked="true" hidden="false"/>
    </xf>
    <xf numFmtId="164" fontId="12" fillId="17" borderId="5" xfId="25" applyFont="true" applyBorder="true" applyAlignment="true" applyProtection="false">
      <alignment horizontal="left" vertical="center" textRotation="0" wrapText="true" indent="0" shrinkToFit="false"/>
      <protection locked="true" hidden="false"/>
    </xf>
    <xf numFmtId="164" fontId="14" fillId="5" borderId="5" xfId="26" applyFont="true" applyBorder="true" applyAlignment="true" applyProtection="false">
      <alignment horizontal="left" vertical="center" textRotation="0" wrapText="true" indent="0" shrinkToFit="false"/>
      <protection locked="true" hidden="false"/>
    </xf>
    <xf numFmtId="164" fontId="13" fillId="21" borderId="12" xfId="26" applyFont="true" applyBorder="true" applyAlignment="true" applyProtection="false">
      <alignment horizontal="left" vertical="center" textRotation="0" wrapText="true" indent="0" shrinkToFit="false"/>
      <protection locked="true" hidden="false"/>
    </xf>
    <xf numFmtId="164" fontId="12" fillId="21" borderId="12" xfId="25" applyFont="true" applyBorder="true" applyAlignment="true" applyProtection="false">
      <alignment horizontal="left" vertical="center" textRotation="0" wrapText="true" indent="0" shrinkToFit="false"/>
      <protection locked="true" hidden="false"/>
    </xf>
    <xf numFmtId="164" fontId="7" fillId="21" borderId="12" xfId="26" applyFont="true" applyBorder="true" applyAlignment="true" applyProtection="false">
      <alignment horizontal="left" vertical="center" textRotation="0" wrapText="true" indent="0" shrinkToFit="false"/>
      <protection locked="true" hidden="false"/>
    </xf>
    <xf numFmtId="169" fontId="7" fillId="21" borderId="12" xfId="28" applyFont="true" applyBorder="true" applyAlignment="false" applyProtection="false">
      <alignment horizontal="general" vertical="bottom" textRotation="0" wrapText="false" indent="0" shrinkToFit="false"/>
      <protection locked="true" hidden="false"/>
    </xf>
    <xf numFmtId="164" fontId="7" fillId="21" borderId="12" xfId="26" applyFont="true" applyBorder="true" applyAlignment="true" applyProtection="false">
      <alignment horizontal="left" vertical="top" textRotation="0" wrapText="true" indent="0" shrinkToFit="false"/>
      <protection locked="true" hidden="false"/>
    </xf>
    <xf numFmtId="164" fontId="13" fillId="21" borderId="5" xfId="26" applyFont="true" applyBorder="true" applyAlignment="true" applyProtection="false">
      <alignment horizontal="left" vertical="center" textRotation="0" wrapText="true" indent="0" shrinkToFit="false"/>
      <protection locked="true" hidden="false"/>
    </xf>
    <xf numFmtId="164" fontId="12" fillId="21" borderId="5" xfId="25" applyFont="true" applyBorder="true" applyAlignment="true" applyProtection="false">
      <alignment horizontal="left" vertical="center" textRotation="0" wrapText="true" indent="0" shrinkToFit="false"/>
      <protection locked="true" hidden="false"/>
    </xf>
    <xf numFmtId="164" fontId="7" fillId="21" borderId="5" xfId="26" applyFont="true" applyBorder="true" applyAlignment="true" applyProtection="false">
      <alignment horizontal="left" vertical="center" textRotation="0" wrapText="true" indent="0" shrinkToFit="false"/>
      <protection locked="true" hidden="false"/>
    </xf>
    <xf numFmtId="164" fontId="7" fillId="21" borderId="5" xfId="26" applyFont="true" applyBorder="true" applyAlignment="true" applyProtection="false">
      <alignment horizontal="left" vertical="top" textRotation="0" wrapText="true" indent="0" shrinkToFit="false"/>
      <protection locked="true" hidden="false"/>
    </xf>
    <xf numFmtId="169" fontId="7" fillId="21" borderId="5" xfId="28" applyFont="true" applyBorder="true" applyAlignment="false" applyProtection="false">
      <alignment horizontal="general" vertical="bottom" textRotation="0" wrapText="false" indent="0" shrinkToFit="false"/>
      <protection locked="true" hidden="false"/>
    </xf>
    <xf numFmtId="164" fontId="13" fillId="5" borderId="5" xfId="26" applyFont="true" applyBorder="true" applyAlignment="true" applyProtection="false">
      <alignment horizontal="left" vertical="center" textRotation="0" wrapText="true" indent="0" shrinkToFit="false"/>
      <protection locked="true" hidden="false"/>
    </xf>
    <xf numFmtId="164" fontId="12" fillId="5" borderId="5" xfId="25" applyFont="true" applyBorder="true" applyAlignment="true" applyProtection="false">
      <alignment horizontal="left" vertical="center" textRotation="0" wrapText="false" indent="0" shrinkToFit="false"/>
      <protection locked="true" hidden="false"/>
    </xf>
    <xf numFmtId="164" fontId="7" fillId="5" borderId="5" xfId="26" applyFont="true" applyBorder="true" applyAlignment="true" applyProtection="false">
      <alignment horizontal="left" vertical="center" textRotation="0" wrapText="true" indent="0" shrinkToFit="false"/>
      <protection locked="true" hidden="false"/>
    </xf>
    <xf numFmtId="164" fontId="7" fillId="5" borderId="5" xfId="25" applyFont="true" applyBorder="true" applyAlignment="true" applyProtection="false">
      <alignment horizontal="left" vertical="top" textRotation="0" wrapText="true" indent="0" shrinkToFit="false"/>
      <protection locked="true" hidden="false"/>
    </xf>
    <xf numFmtId="164" fontId="7" fillId="5" borderId="5" xfId="25" applyFont="true" applyBorder="true" applyAlignment="true" applyProtection="false">
      <alignment horizontal="left" vertical="center" textRotation="0" wrapText="true" indent="0" shrinkToFit="false"/>
      <protection locked="true" hidden="false"/>
    </xf>
    <xf numFmtId="169" fontId="7" fillId="5" borderId="5" xfId="28" applyFont="true" applyBorder="true" applyAlignment="false" applyProtection="false">
      <alignment horizontal="general" vertical="bottom" textRotation="0" wrapText="false" indent="0" shrinkToFit="false"/>
      <protection locked="true" hidden="false"/>
    </xf>
    <xf numFmtId="164" fontId="12" fillId="5" borderId="5" xfId="25" applyFont="true" applyBorder="true" applyAlignment="true" applyProtection="false">
      <alignment horizontal="left" vertical="center" textRotation="0" wrapText="true" indent="0" shrinkToFit="false"/>
      <protection locked="true" hidden="false"/>
    </xf>
    <xf numFmtId="164" fontId="7" fillId="5" borderId="5" xfId="26" applyFont="true" applyBorder="true" applyAlignment="true" applyProtection="false">
      <alignment horizontal="left" vertical="top" textRotation="0" wrapText="tru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12" fillId="4" borderId="5" xfId="25" applyFont="true" applyBorder="true" applyAlignment="true" applyProtection="false">
      <alignment horizontal="left" vertical="center" textRotation="0" wrapText="tru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4" fontId="8" fillId="4" borderId="0" xfId="0" applyFont="true" applyBorder="false" applyAlignment="false" applyProtection="false">
      <alignment horizontal="general" vertical="bottom" textRotation="0" wrapText="false" indent="0" shrinkToFit="false"/>
      <protection locked="true" hidden="false"/>
    </xf>
    <xf numFmtId="164" fontId="9" fillId="22" borderId="1" xfId="0" applyFont="true" applyBorder="true" applyAlignment="true" applyProtection="false">
      <alignment horizontal="left" vertical="bottom" textRotation="0" wrapText="false" indent="0" shrinkToFit="false"/>
      <protection locked="true" hidden="false"/>
    </xf>
    <xf numFmtId="164" fontId="12" fillId="22" borderId="2" xfId="0" applyFont="true" applyBorder="true" applyAlignment="false" applyProtection="false">
      <alignment horizontal="general" vertical="bottom" textRotation="0" wrapText="false" indent="0" shrinkToFit="false"/>
      <protection locked="true" hidden="false"/>
    </xf>
    <xf numFmtId="164" fontId="12" fillId="22" borderId="3" xfId="0" applyFont="true" applyBorder="true" applyAlignment="false" applyProtection="false">
      <alignment horizontal="general" vertical="bottom" textRotation="0" wrapText="false" indent="0" shrinkToFit="false"/>
      <protection locked="true" hidden="false"/>
    </xf>
    <xf numFmtId="164" fontId="12" fillId="22" borderId="3" xfId="0" applyFont="true" applyBorder="true" applyAlignment="true" applyProtection="false">
      <alignment horizontal="general" vertical="top" textRotation="0" wrapText="false" indent="0" shrinkToFit="false"/>
      <protection locked="true" hidden="false"/>
    </xf>
    <xf numFmtId="169" fontId="12" fillId="22" borderId="4" xfId="28" applyFont="true" applyBorder="true" applyAlignment="true" applyProtection="false">
      <alignment horizontal="center" vertical="bottom" textRotation="0" wrapText="true" indent="0" shrinkToFit="false"/>
      <protection locked="true" hidden="false"/>
    </xf>
    <xf numFmtId="164" fontId="13" fillId="23" borderId="5" xfId="26" applyFont="true" applyBorder="true" applyAlignment="true" applyProtection="false">
      <alignment horizontal="left" vertical="center" textRotation="0" wrapText="true" indent="0" shrinkToFit="false"/>
      <protection locked="true" hidden="false"/>
    </xf>
    <xf numFmtId="164" fontId="12" fillId="23" borderId="5" xfId="25" applyFont="true" applyBorder="true" applyAlignment="true" applyProtection="false">
      <alignment horizontal="left" vertical="center" textRotation="0" wrapText="false" indent="0" shrinkToFit="false"/>
      <protection locked="true" hidden="false"/>
    </xf>
    <xf numFmtId="164" fontId="7" fillId="23" borderId="5" xfId="26" applyFont="true" applyBorder="true" applyAlignment="true" applyProtection="false">
      <alignment horizontal="left" vertical="center" textRotation="0" wrapText="true" indent="0" shrinkToFit="false"/>
      <protection locked="true" hidden="false"/>
    </xf>
    <xf numFmtId="164" fontId="7" fillId="23" borderId="5" xfId="25" applyFont="true" applyBorder="true" applyAlignment="true" applyProtection="false">
      <alignment horizontal="left" vertical="top" textRotation="0" wrapText="true" indent="0" shrinkToFit="false"/>
      <protection locked="true" hidden="false"/>
    </xf>
    <xf numFmtId="164" fontId="7" fillId="23" borderId="5" xfId="25" applyFont="true" applyBorder="true" applyAlignment="true" applyProtection="false">
      <alignment horizontal="left" vertical="center" textRotation="0" wrapText="true" indent="0" shrinkToFit="false"/>
      <protection locked="true" hidden="false"/>
    </xf>
    <xf numFmtId="169" fontId="7" fillId="23" borderId="5" xfId="28"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left" vertical="bottom" textRotation="0" wrapText="false" indent="0" shrinkToFit="false"/>
      <protection locked="true" hidden="false"/>
    </xf>
    <xf numFmtId="164" fontId="7" fillId="3" borderId="5" xfId="0" applyFont="true" applyBorder="true" applyAlignment="false" applyProtection="false">
      <alignment horizontal="general" vertical="bottom" textRotation="0" wrapText="false" indent="0" shrinkToFit="false"/>
      <protection locked="true" hidden="false"/>
    </xf>
    <xf numFmtId="164" fontId="7" fillId="3" borderId="8" xfId="0" applyFont="true" applyBorder="true" applyAlignment="false" applyProtection="false">
      <alignment horizontal="general" vertical="bottom" textRotation="0" wrapText="false" indent="0" shrinkToFit="false"/>
      <protection locked="true" hidden="false"/>
    </xf>
    <xf numFmtId="164" fontId="7" fillId="3" borderId="9" xfId="0" applyFont="true" applyBorder="true" applyAlignment="false" applyProtection="false">
      <alignment horizontal="general" vertical="bottom" textRotation="0" wrapText="false" indent="0" shrinkToFit="false"/>
      <protection locked="true" hidden="false"/>
    </xf>
    <xf numFmtId="164" fontId="7" fillId="13" borderId="8" xfId="25" applyFont="true" applyBorder="true" applyAlignment="true" applyProtection="false">
      <alignment horizontal="left" vertical="center" textRotation="0" wrapText="false" indent="0" shrinkToFit="false"/>
      <protection locked="true" hidden="false"/>
    </xf>
    <xf numFmtId="164" fontId="7" fillId="13" borderId="9" xfId="26" applyFont="true" applyBorder="true" applyAlignment="true" applyProtection="false">
      <alignment horizontal="left" vertical="top" textRotation="0" wrapText="true" indent="0" shrinkToFit="false"/>
      <protection locked="true" hidden="false"/>
    </xf>
    <xf numFmtId="164" fontId="7" fillId="23" borderId="12" xfId="0" applyFont="true" applyBorder="true" applyAlignment="false" applyProtection="false">
      <alignment horizontal="general" vertical="bottom" textRotation="0" wrapText="false" indent="0" shrinkToFit="false"/>
      <protection locked="true" hidden="false"/>
    </xf>
    <xf numFmtId="164" fontId="7" fillId="23" borderId="13" xfId="0" applyFont="true" applyBorder="true" applyAlignment="false" applyProtection="false">
      <alignment horizontal="general" vertical="bottom" textRotation="0" wrapText="false" indent="0" shrinkToFit="false"/>
      <protection locked="true" hidden="false"/>
    </xf>
    <xf numFmtId="164" fontId="7" fillId="23" borderId="13" xfId="26" applyFont="true" applyBorder="true" applyAlignment="true" applyProtection="false">
      <alignment horizontal="left" vertical="center" textRotation="0" wrapText="true" indent="0" shrinkToFit="false"/>
      <protection locked="true" hidden="false"/>
    </xf>
    <xf numFmtId="164" fontId="7" fillId="23" borderId="14" xfId="0" applyFont="true" applyBorder="true" applyAlignment="true" applyProtection="false">
      <alignment horizontal="general" vertical="top" textRotation="0" wrapText="false" indent="0" shrinkToFit="false"/>
      <protection locked="true" hidden="false"/>
    </xf>
    <xf numFmtId="164" fontId="7" fillId="23" borderId="11" xfId="0" applyFont="true" applyBorder="true" applyAlignment="false" applyProtection="false">
      <alignment horizontal="general" vertical="bottom" textRotation="0" wrapText="false" indent="0" shrinkToFit="false"/>
      <protection locked="true" hidden="false"/>
    </xf>
    <xf numFmtId="164" fontId="7" fillId="23" borderId="0" xfId="0" applyFont="true" applyBorder="false" applyAlignment="false" applyProtection="false">
      <alignment horizontal="general" vertical="bottom" textRotation="0" wrapText="false" indent="0" shrinkToFit="false"/>
      <protection locked="true" hidden="false"/>
    </xf>
    <xf numFmtId="164" fontId="7" fillId="23" borderId="0" xfId="26" applyFont="true" applyBorder="false" applyAlignment="true" applyProtection="false">
      <alignment horizontal="left" vertical="center" textRotation="0" wrapText="true" indent="0" shrinkToFit="false"/>
      <protection locked="true" hidden="false"/>
    </xf>
    <xf numFmtId="164" fontId="7" fillId="23" borderId="15" xfId="0" applyFont="true" applyBorder="true" applyAlignment="true" applyProtection="false">
      <alignment horizontal="general" vertical="top" textRotation="0" wrapText="false" indent="0" shrinkToFit="false"/>
      <protection locked="true" hidden="false"/>
    </xf>
    <xf numFmtId="164" fontId="7" fillId="23" borderId="16" xfId="0" applyFont="true" applyBorder="true" applyAlignment="false" applyProtection="false">
      <alignment horizontal="general" vertical="bottom" textRotation="0" wrapText="false" indent="0" shrinkToFit="false"/>
      <protection locked="true" hidden="false"/>
    </xf>
    <xf numFmtId="164" fontId="7" fillId="23" borderId="17" xfId="0" applyFont="true" applyBorder="true" applyAlignment="false" applyProtection="false">
      <alignment horizontal="general" vertical="bottom" textRotation="0" wrapText="false" indent="0" shrinkToFit="false"/>
      <protection locked="true" hidden="false"/>
    </xf>
    <xf numFmtId="164" fontId="7" fillId="23" borderId="17" xfId="26" applyFont="true" applyBorder="true" applyAlignment="true" applyProtection="false">
      <alignment horizontal="left" vertical="center" textRotation="0" wrapText="true" indent="0" shrinkToFit="false"/>
      <protection locked="true" hidden="false"/>
    </xf>
    <xf numFmtId="164" fontId="7" fillId="23" borderId="18" xfId="0" applyFont="true" applyBorder="true" applyAlignment="true" applyProtection="false">
      <alignment horizontal="general" vertical="top" textRotation="0" wrapText="false" indent="0" shrinkToFit="false"/>
      <protection locked="true" hidden="false"/>
    </xf>
    <xf numFmtId="164" fontId="7" fillId="24" borderId="12" xfId="0" applyFont="true" applyBorder="true" applyAlignment="false" applyProtection="false">
      <alignment horizontal="general" vertical="bottom" textRotation="0" wrapText="false" indent="0" shrinkToFit="false"/>
      <protection locked="true" hidden="false"/>
    </xf>
    <xf numFmtId="164" fontId="7" fillId="24" borderId="13" xfId="0" applyFont="true" applyBorder="true" applyAlignment="false" applyProtection="false">
      <alignment horizontal="general" vertical="bottom" textRotation="0" wrapText="false" indent="0" shrinkToFit="false"/>
      <protection locked="true" hidden="false"/>
    </xf>
    <xf numFmtId="164" fontId="7" fillId="24" borderId="14" xfId="0" applyFont="true" applyBorder="true" applyAlignment="true" applyProtection="false">
      <alignment horizontal="general" vertical="top" textRotation="0" wrapText="false" indent="0" shrinkToFit="false"/>
      <protection locked="true" hidden="false"/>
    </xf>
    <xf numFmtId="164" fontId="7" fillId="24" borderId="16" xfId="0" applyFont="true" applyBorder="true" applyAlignment="false" applyProtection="false">
      <alignment horizontal="general" vertical="bottom" textRotation="0" wrapText="false" indent="0" shrinkToFit="false"/>
      <protection locked="true" hidden="false"/>
    </xf>
    <xf numFmtId="164" fontId="7" fillId="24" borderId="17" xfId="0" applyFont="true" applyBorder="true" applyAlignment="false" applyProtection="false">
      <alignment horizontal="general" vertical="bottom" textRotation="0" wrapText="false" indent="0" shrinkToFit="false"/>
      <protection locked="true" hidden="false"/>
    </xf>
    <xf numFmtId="164" fontId="7" fillId="24" borderId="18" xfId="0" applyFont="true" applyBorder="true" applyAlignment="true" applyProtection="false">
      <alignment horizontal="general" vertical="top"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6" fontId="7" fillId="0" borderId="0" xfId="15" applyFont="true" applyBorder="true" applyAlignment="true" applyProtection="true">
      <alignment horizontal="general" vertical="bottom" textRotation="0" wrapText="false" indent="0" shrinkToFit="false"/>
      <protection locked="true" hidden="false"/>
    </xf>
    <xf numFmtId="165" fontId="18" fillId="0" borderId="0" xfId="21" applyFont="true" applyBorder="false" applyAlignment="false" applyProtection="false">
      <alignment horizontal="general" vertical="bottom" textRotation="0" wrapText="false" indent="0" shrinkToFit="false"/>
      <protection locked="true" hidden="false"/>
    </xf>
    <xf numFmtId="164" fontId="6" fillId="10" borderId="0" xfId="0" applyFont="true" applyBorder="false" applyAlignment="false" applyProtection="false">
      <alignment horizontal="general" vertical="bottom" textRotation="0" wrapText="false" indent="0" shrinkToFit="false"/>
      <protection locked="true" hidden="false"/>
    </xf>
    <xf numFmtId="164" fontId="0" fillId="10" borderId="0" xfId="0" applyFont="false" applyBorder="false" applyAlignment="false" applyProtection="false">
      <alignment horizontal="general" vertical="bottom" textRotation="0" wrapText="false" indent="0" shrinkToFit="false"/>
      <protection locked="true" hidden="false"/>
    </xf>
    <xf numFmtId="164" fontId="29" fillId="0" borderId="0" xfId="0" applyFont="true" applyBorder="false" applyAlignment="true" applyProtection="false">
      <alignment horizontal="general" vertical="center" textRotation="0" wrapText="false" indent="0" shrinkToFit="false"/>
      <protection locked="true" hidden="false"/>
    </xf>
    <xf numFmtId="164" fontId="30" fillId="0" borderId="0" xfId="0" applyFont="true" applyBorder="false" applyAlignment="true" applyProtection="false">
      <alignment horizontal="general" vertical="center"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71" fontId="31" fillId="0" borderId="0" xfId="0" applyFont="true" applyBorder="false" applyAlignment="true" applyProtection="false">
      <alignment horizontal="general" vertical="center" textRotation="0" wrapText="false" indent="0" shrinkToFit="false"/>
      <protection locked="true" hidden="false"/>
    </xf>
    <xf numFmtId="171" fontId="32" fillId="0" borderId="0" xfId="20" applyFont="true" applyBorder="true" applyAlignment="true" applyProtection="true">
      <alignment horizontal="general" vertical="center" textRotation="0" wrapText="false" indent="0" shrinkToFit="false"/>
      <protection locked="true" hidden="false"/>
    </xf>
    <xf numFmtId="171" fontId="33" fillId="0" borderId="0" xfId="0" applyFont="true" applyBorder="false" applyAlignment="true" applyProtection="false">
      <alignment horizontal="general" vertical="center" textRotation="0" wrapText="false" indent="0" shrinkToFit="false"/>
      <protection locked="true" hidden="false"/>
    </xf>
    <xf numFmtId="172" fontId="31" fillId="0" borderId="0" xfId="0" applyFont="true" applyBorder="false" applyAlignment="true" applyProtection="false">
      <alignment horizontal="left" vertical="center" textRotation="0" wrapText="false" indent="0" shrinkToFit="false"/>
      <protection locked="true" hidden="false"/>
    </xf>
    <xf numFmtId="164" fontId="34" fillId="0" borderId="0" xfId="0" applyFont="true" applyBorder="false" applyAlignment="false" applyProtection="true">
      <alignment horizontal="general" vertical="bottom" textRotation="0" wrapText="false" indent="0" shrinkToFit="false"/>
      <protection locked="true" hidden="true"/>
    </xf>
    <xf numFmtId="168" fontId="35" fillId="0" borderId="0" xfId="0" applyFont="true" applyBorder="false" applyAlignment="true" applyProtection="false">
      <alignment horizontal="left" vertical="center" textRotation="0" wrapText="false" indent="0" shrinkToFit="false"/>
      <protection locked="true" hidden="false"/>
    </xf>
    <xf numFmtId="173" fontId="34" fillId="0" borderId="0" xfId="0" applyFont="true" applyBorder="false" applyAlignment="true" applyProtection="true">
      <alignment horizontal="left" vertical="bottom" textRotation="0" wrapText="false" indent="0" shrinkToFit="false"/>
      <protection locked="true" hidden="true"/>
    </xf>
    <xf numFmtId="172" fontId="29" fillId="0" borderId="0" xfId="0" applyFont="true" applyBorder="false" applyAlignment="true" applyProtection="false">
      <alignment horizontal="general" vertical="center" textRotation="0" wrapText="false" indent="0" shrinkToFit="false"/>
      <protection locked="true" hidden="false"/>
    </xf>
    <xf numFmtId="171" fontId="31" fillId="0" borderId="0" xfId="0" applyFont="true" applyBorder="false" applyAlignment="true" applyProtection="false">
      <alignment horizontal="left" vertical="center" textRotation="0" wrapText="false" indent="0" shrinkToFit="false"/>
      <protection locked="true" hidden="false"/>
    </xf>
    <xf numFmtId="168" fontId="33" fillId="0" borderId="0" xfId="0" applyFont="true" applyBorder="true" applyAlignment="true" applyProtection="false">
      <alignment horizontal="left" vertical="center" textRotation="0" wrapText="true" indent="0" shrinkToFit="false"/>
      <protection locked="true" hidden="false"/>
    </xf>
    <xf numFmtId="168" fontId="33" fillId="0" borderId="0" xfId="0" applyFont="true" applyBorder="false" applyAlignment="true" applyProtection="false">
      <alignment horizontal="left" vertical="center" textRotation="0" wrapText="false" indent="0" shrinkToFit="false"/>
      <protection locked="true" hidden="false"/>
    </xf>
    <xf numFmtId="164" fontId="31" fillId="0" borderId="0" xfId="0" applyFont="true" applyBorder="true" applyAlignment="true" applyProtection="true">
      <alignment horizontal="left" vertical="center" textRotation="0" wrapText="false" indent="0" shrinkToFit="false"/>
      <protection locked="false" hidden="false"/>
    </xf>
    <xf numFmtId="164" fontId="36" fillId="0" borderId="0" xfId="0" applyFont="true" applyBorder="true" applyAlignment="true" applyProtection="true">
      <alignment horizontal="left" vertical="center" textRotation="0" wrapText="false" indent="0" shrinkToFit="false"/>
      <protection locked="false" hidden="false"/>
    </xf>
    <xf numFmtId="164" fontId="33" fillId="0" borderId="0" xfId="0" applyFont="true" applyBorder="false" applyAlignment="true" applyProtection="true">
      <alignment horizontal="general" vertical="center" textRotation="0" wrapText="false" indent="0" shrinkToFit="false"/>
      <protection locked="false" hidden="false"/>
    </xf>
    <xf numFmtId="164" fontId="33" fillId="0" borderId="0" xfId="0" applyFont="true" applyBorder="false" applyAlignment="true" applyProtection="true">
      <alignment horizontal="center" vertical="center" textRotation="0" wrapText="false" indent="0" shrinkToFit="false"/>
      <protection locked="false" hidden="false"/>
    </xf>
    <xf numFmtId="174" fontId="33" fillId="0" borderId="0" xfId="0" applyFont="true" applyBorder="false" applyAlignment="true" applyProtection="true">
      <alignment horizontal="right" vertical="center" textRotation="0" wrapText="false" indent="0" shrinkToFit="false"/>
      <protection locked="false" hidden="false"/>
    </xf>
    <xf numFmtId="164" fontId="35" fillId="0" borderId="0" xfId="0" applyFont="true" applyBorder="false" applyAlignment="true" applyProtection="true">
      <alignment horizontal="general" vertical="center" textRotation="0" wrapText="false" indent="0" shrinkToFit="false"/>
      <protection locked="false" hidden="false"/>
    </xf>
    <xf numFmtId="164" fontId="33" fillId="0" borderId="0" xfId="0" applyFont="true" applyBorder="false" applyAlignment="true" applyProtection="true">
      <alignment horizontal="right" vertical="center" textRotation="0" wrapText="false" indent="0" shrinkToFit="false"/>
      <protection locked="false" hidden="false"/>
    </xf>
    <xf numFmtId="164" fontId="29" fillId="0" borderId="13" xfId="0" applyFont="true" applyBorder="true" applyAlignment="true" applyProtection="false">
      <alignment horizontal="general" vertical="center" textRotation="0" wrapText="false" indent="0" shrinkToFit="false"/>
      <protection locked="true" hidden="false"/>
    </xf>
    <xf numFmtId="164" fontId="33" fillId="0" borderId="19" xfId="0" applyFont="true" applyBorder="true" applyAlignment="true" applyProtection="true">
      <alignment horizontal="general" vertical="center" textRotation="0" wrapText="false" indent="0" shrinkToFit="false"/>
      <protection locked="false" hidden="false"/>
    </xf>
    <xf numFmtId="164" fontId="31" fillId="0" borderId="19" xfId="0" applyFont="true" applyBorder="true" applyAlignment="true" applyProtection="true">
      <alignment horizontal="general" vertical="center" textRotation="0" wrapText="false" indent="0" shrinkToFit="false"/>
      <protection locked="false" hidden="false"/>
    </xf>
    <xf numFmtId="168" fontId="33" fillId="0" borderId="19" xfId="0" applyFont="true" applyBorder="true" applyAlignment="true" applyProtection="true">
      <alignment horizontal="general" vertical="center" textRotation="0" wrapText="false" indent="0" shrinkToFit="false"/>
      <protection locked="false" hidden="false"/>
    </xf>
    <xf numFmtId="164" fontId="37" fillId="0" borderId="19" xfId="0" applyFont="true" applyBorder="true" applyAlignment="true" applyProtection="true">
      <alignment horizontal="general" vertical="center" textRotation="0" wrapText="false" indent="0" shrinkToFit="false"/>
      <protection locked="false" hidden="false"/>
    </xf>
    <xf numFmtId="164" fontId="33" fillId="0" borderId="20" xfId="0" applyFont="true" applyBorder="true" applyAlignment="true" applyProtection="true">
      <alignment horizontal="general" vertical="center" textRotation="0" wrapText="false" indent="0" shrinkToFit="false"/>
      <protection locked="false" hidden="false"/>
    </xf>
    <xf numFmtId="175" fontId="33" fillId="0" borderId="21" xfId="0" applyFont="true" applyBorder="true" applyAlignment="true" applyProtection="true">
      <alignment horizontal="general" vertical="center" textRotation="0" wrapText="false" indent="0" shrinkToFit="false"/>
      <protection locked="false" hidden="false"/>
    </xf>
    <xf numFmtId="176" fontId="33" fillId="0" borderId="21" xfId="0" applyFont="true" applyBorder="true" applyAlignment="true" applyProtection="true">
      <alignment horizontal="general" vertical="center" textRotation="0" wrapText="false" indent="0" shrinkToFit="false"/>
      <protection locked="false" hidden="false"/>
    </xf>
    <xf numFmtId="164" fontId="33" fillId="0" borderId="21" xfId="0" applyFont="true" applyBorder="true" applyAlignment="true" applyProtection="true">
      <alignment horizontal="general" vertical="center" textRotation="0" wrapText="false" indent="0" shrinkToFit="false"/>
      <protection locked="false" hidden="false"/>
    </xf>
    <xf numFmtId="164" fontId="37" fillId="0" borderId="21" xfId="0" applyFont="true" applyBorder="true" applyAlignment="true" applyProtection="true">
      <alignment horizontal="general" vertical="center" textRotation="0" wrapText="false" indent="0" shrinkToFit="false"/>
      <protection locked="false" hidden="false"/>
    </xf>
    <xf numFmtId="171" fontId="38" fillId="0" borderId="20" xfId="0" applyFont="true" applyBorder="true" applyAlignment="true" applyProtection="false">
      <alignment horizontal="left" vertical="center" textRotation="0" wrapText="false" indent="0" shrinkToFit="false"/>
      <protection locked="true" hidden="false"/>
    </xf>
    <xf numFmtId="175" fontId="33" fillId="0" borderId="20" xfId="0" applyFont="true" applyBorder="true" applyAlignment="true" applyProtection="true">
      <alignment horizontal="general" vertical="center" textRotation="0" wrapText="false" indent="0" shrinkToFit="false"/>
      <protection locked="false" hidden="false"/>
    </xf>
    <xf numFmtId="176" fontId="33" fillId="0" borderId="20" xfId="0" applyFont="true" applyBorder="true" applyAlignment="true" applyProtection="true">
      <alignment horizontal="general" vertical="center" textRotation="0" wrapText="false" indent="0" shrinkToFit="false"/>
      <protection locked="false" hidden="false"/>
    </xf>
    <xf numFmtId="164" fontId="37" fillId="0" borderId="20" xfId="0" applyFont="true" applyBorder="true" applyAlignment="true" applyProtection="true">
      <alignment horizontal="general" vertical="center" textRotation="0" wrapText="false" indent="0" shrinkToFit="false"/>
      <protection locked="false" hidden="false"/>
    </xf>
    <xf numFmtId="171" fontId="33" fillId="0" borderId="0" xfId="0" applyFont="true" applyBorder="false" applyAlignment="true" applyProtection="false">
      <alignment horizontal="left" vertical="center" textRotation="0" wrapText="false" indent="0" shrinkToFit="false"/>
      <protection locked="true" hidden="false"/>
    </xf>
    <xf numFmtId="175" fontId="33" fillId="0" borderId="21" xfId="0" applyFont="true" applyBorder="true" applyAlignment="true" applyProtection="true">
      <alignment horizontal="left" vertical="center" textRotation="0" wrapText="false" indent="0" shrinkToFit="false"/>
      <protection locked="false" hidden="false"/>
    </xf>
    <xf numFmtId="164" fontId="33" fillId="0" borderId="0" xfId="0" applyFont="true" applyBorder="false" applyAlignment="true" applyProtection="true">
      <alignment horizontal="left" vertical="center" textRotation="0" wrapText="false" indent="0" shrinkToFit="false"/>
      <protection locked="false" hidden="false"/>
    </xf>
    <xf numFmtId="175" fontId="33" fillId="0" borderId="0" xfId="0" applyFont="true" applyBorder="false" applyAlignment="true" applyProtection="true">
      <alignment horizontal="center" vertical="center" textRotation="0" wrapText="false" indent="0" shrinkToFit="false"/>
      <protection locked="false" hidden="false"/>
    </xf>
    <xf numFmtId="176" fontId="33" fillId="0" borderId="0" xfId="0" applyFont="true" applyBorder="false" applyAlignment="true" applyProtection="true">
      <alignment horizontal="right" vertical="center" textRotation="0" wrapText="false" indent="0" shrinkToFit="false"/>
      <protection locked="false" hidden="false"/>
    </xf>
    <xf numFmtId="164" fontId="31" fillId="0" borderId="19" xfId="0" applyFont="true" applyBorder="true" applyAlignment="true" applyProtection="true">
      <alignment horizontal="left" vertical="center" textRotation="0" wrapText="false" indent="0" shrinkToFit="false"/>
      <protection locked="false" hidden="false"/>
    </xf>
    <xf numFmtId="164" fontId="33" fillId="0" borderId="20" xfId="0" applyFont="true" applyBorder="true" applyAlignment="true" applyProtection="true">
      <alignment horizontal="left" vertical="center" textRotation="0" wrapText="false" indent="0" shrinkToFit="false"/>
      <protection locked="false" hidden="false"/>
    </xf>
    <xf numFmtId="175" fontId="33" fillId="0" borderId="20" xfId="0" applyFont="true" applyBorder="true" applyAlignment="true" applyProtection="true">
      <alignment horizontal="left" vertical="center" textRotation="0" wrapText="fals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39" fillId="0" borderId="0" xfId="0" applyFont="true" applyBorder="false" applyAlignment="false" applyProtection="false">
      <alignment horizontal="general" vertical="bottom" textRotation="0" wrapText="false" indent="0" shrinkToFit="false"/>
      <protection locked="true" hidden="false"/>
    </xf>
    <xf numFmtId="164" fontId="39" fillId="0" borderId="0" xfId="0" applyFont="true" applyBorder="false" applyAlignment="true" applyProtection="false">
      <alignment horizontal="general" vertical="top" textRotation="0" wrapText="false" indent="0" shrinkToFit="false"/>
      <protection locked="true" hidden="false"/>
    </xf>
    <xf numFmtId="166" fontId="39" fillId="0" borderId="0" xfId="15" applyFont="true" applyBorder="true" applyAlignment="true" applyProtection="true">
      <alignment horizontal="general" vertical="bottom" textRotation="0" wrapText="false" indent="0" shrinkToFit="false"/>
      <protection locked="true" hidden="false"/>
    </xf>
    <xf numFmtId="164" fontId="40" fillId="14" borderId="0" xfId="0" applyFont="true" applyBorder="false" applyAlignment="false" applyProtection="false">
      <alignment horizontal="general" vertical="bottom" textRotation="0" wrapText="false" indent="0" shrinkToFit="false"/>
      <protection locked="true" hidden="false"/>
    </xf>
    <xf numFmtId="171" fontId="41" fillId="0" borderId="22" xfId="0" applyFont="true" applyBorder="true" applyAlignment="true" applyProtection="false">
      <alignment horizontal="general" vertical="center" textRotation="0" wrapText="false" indent="0" shrinkToFit="false"/>
      <protection locked="true" hidden="false"/>
    </xf>
    <xf numFmtId="164" fontId="41" fillId="0" borderId="23" xfId="0" applyFont="true" applyBorder="true" applyAlignment="true" applyProtection="false">
      <alignment horizontal="general" vertical="center" textRotation="0" wrapText="false" indent="0" shrinkToFit="false"/>
      <protection locked="true" hidden="false"/>
    </xf>
    <xf numFmtId="164" fontId="41" fillId="0" borderId="23" xfId="0" applyFont="true" applyBorder="true" applyAlignment="true" applyProtection="false">
      <alignment horizontal="general" vertical="top" textRotation="0" wrapText="false" indent="0" shrinkToFit="false"/>
      <protection locked="true" hidden="false"/>
    </xf>
    <xf numFmtId="166" fontId="41" fillId="0" borderId="23" xfId="15" applyFont="true" applyBorder="true" applyAlignment="true" applyProtection="true">
      <alignment horizontal="general" vertical="center" textRotation="0" wrapText="false" indent="0" shrinkToFit="false"/>
      <protection locked="true" hidden="false"/>
    </xf>
    <xf numFmtId="166" fontId="41" fillId="0" borderId="24" xfId="15" applyFont="true" applyBorder="true" applyAlignment="true" applyProtection="true">
      <alignment horizontal="general" vertical="center" textRotation="0" wrapText="false" indent="0" shrinkToFit="false"/>
      <protection locked="true" hidden="false"/>
    </xf>
    <xf numFmtId="164" fontId="42" fillId="0" borderId="0" xfId="0" applyFont="true" applyBorder="false" applyAlignment="false" applyProtection="false">
      <alignment horizontal="general" vertical="bottom" textRotation="0" wrapText="false" indent="0" shrinkToFit="false"/>
      <protection locked="true" hidden="false"/>
    </xf>
    <xf numFmtId="164" fontId="40" fillId="0" borderId="0" xfId="0" applyFont="true" applyBorder="false" applyAlignment="false" applyProtection="false">
      <alignment horizontal="general" vertical="bottom" textRotation="0" wrapText="false" indent="0" shrinkToFit="false"/>
      <protection locked="true" hidden="false"/>
    </xf>
    <xf numFmtId="164" fontId="43" fillId="0" borderId="25" xfId="0" applyFont="true" applyBorder="true" applyAlignment="true" applyProtection="true">
      <alignment horizontal="general" vertical="center" textRotation="0" wrapText="false" indent="0" shrinkToFit="false"/>
      <protection locked="false" hidden="false"/>
    </xf>
    <xf numFmtId="164" fontId="43" fillId="0" borderId="0" xfId="0" applyFont="true" applyBorder="false" applyAlignment="true" applyProtection="true">
      <alignment horizontal="general" vertical="center" textRotation="0" wrapText="false" indent="0" shrinkToFit="false"/>
      <protection locked="false" hidden="false"/>
    </xf>
    <xf numFmtId="164" fontId="43" fillId="0" borderId="0" xfId="0" applyFont="true" applyBorder="false" applyAlignment="true" applyProtection="true">
      <alignment horizontal="general" vertical="top" textRotation="0" wrapText="false" indent="0" shrinkToFit="false"/>
      <protection locked="false" hidden="false"/>
    </xf>
    <xf numFmtId="166" fontId="43" fillId="0" borderId="0" xfId="15" applyFont="true" applyBorder="true" applyAlignment="true" applyProtection="true">
      <alignment horizontal="general" vertical="center" textRotation="0" wrapText="false" indent="0" shrinkToFit="false"/>
      <protection locked="false" hidden="false"/>
    </xf>
    <xf numFmtId="166" fontId="42" fillId="0" borderId="26" xfId="15" applyFont="true" applyBorder="true" applyAlignment="true" applyProtection="true">
      <alignment horizontal="general" vertical="bottom" textRotation="0" wrapText="false" indent="0" shrinkToFit="false"/>
      <protection locked="true" hidden="false"/>
    </xf>
    <xf numFmtId="168" fontId="43" fillId="0" borderId="25" xfId="0" applyFont="true" applyBorder="true" applyAlignment="true" applyProtection="true">
      <alignment horizontal="general" vertical="center" textRotation="0" wrapText="false" indent="0" shrinkToFit="false"/>
      <protection locked="false" hidden="false"/>
    </xf>
    <xf numFmtId="164" fontId="41" fillId="0" borderId="27" xfId="0" applyFont="true" applyBorder="true" applyAlignment="true" applyProtection="true">
      <alignment horizontal="general" vertical="center" textRotation="0" wrapText="false" indent="0" shrinkToFit="false"/>
      <protection locked="false" hidden="false"/>
    </xf>
    <xf numFmtId="164" fontId="42" fillId="0" borderId="28" xfId="0" applyFont="true" applyBorder="true" applyAlignment="true" applyProtection="true">
      <alignment horizontal="general" vertical="center" textRotation="0" wrapText="false" indent="0" shrinkToFit="false"/>
      <protection locked="false" hidden="false"/>
    </xf>
    <xf numFmtId="164" fontId="42" fillId="0" borderId="28" xfId="0" applyFont="true" applyBorder="true" applyAlignment="true" applyProtection="true">
      <alignment horizontal="general" vertical="top" textRotation="0" wrapText="false" indent="0" shrinkToFit="false"/>
      <protection locked="false" hidden="false"/>
    </xf>
    <xf numFmtId="166" fontId="42" fillId="0" borderId="28" xfId="15" applyFont="true" applyBorder="true" applyAlignment="true" applyProtection="true">
      <alignment horizontal="general" vertical="center" textRotation="0" wrapText="false" indent="0" shrinkToFit="false"/>
      <protection locked="false" hidden="false"/>
    </xf>
    <xf numFmtId="177" fontId="42" fillId="0" borderId="29" xfId="0" applyFont="true" applyBorder="true" applyAlignment="true" applyProtection="true">
      <alignment horizontal="general" vertical="center" textRotation="0" wrapText="false" indent="0" shrinkToFit="false"/>
      <protection locked="false" hidden="false"/>
    </xf>
    <xf numFmtId="164" fontId="41" fillId="0" borderId="0" xfId="0" applyFont="true" applyBorder="false" applyAlignment="true" applyProtection="true">
      <alignment horizontal="general" vertical="center" textRotation="0" wrapText="false" indent="0" shrinkToFit="false"/>
      <protection locked="false" hidden="false"/>
    </xf>
    <xf numFmtId="164" fontId="42" fillId="0" borderId="0" xfId="0" applyFont="true" applyBorder="false" applyAlignment="true" applyProtection="true">
      <alignment horizontal="general" vertical="center" textRotation="0" wrapText="false" indent="0" shrinkToFit="false"/>
      <protection locked="false" hidden="false"/>
    </xf>
    <xf numFmtId="164" fontId="42" fillId="0" borderId="0" xfId="0" applyFont="true" applyBorder="false" applyAlignment="true" applyProtection="true">
      <alignment horizontal="general" vertical="top" textRotation="0" wrapText="false" indent="0" shrinkToFit="false"/>
      <protection locked="false" hidden="false"/>
    </xf>
    <xf numFmtId="172" fontId="42" fillId="0" borderId="0" xfId="0" applyFont="true" applyBorder="false" applyAlignment="true" applyProtection="true">
      <alignment horizontal="general" vertical="center" textRotation="0" wrapText="false" indent="0" shrinkToFit="false"/>
      <protection locked="false" hidden="false"/>
    </xf>
    <xf numFmtId="166" fontId="42" fillId="0" borderId="0" xfId="15" applyFont="true" applyBorder="true" applyAlignment="true" applyProtection="true">
      <alignment horizontal="general" vertical="center" textRotation="0" wrapText="false" indent="0" shrinkToFit="false"/>
      <protection locked="false" hidden="false"/>
    </xf>
    <xf numFmtId="166" fontId="42" fillId="0" borderId="0" xfId="15" applyFont="true" applyBorder="true" applyAlignment="true" applyProtection="true">
      <alignment horizontal="general" vertical="bottom" textRotation="0" wrapText="false" indent="0" shrinkToFit="false"/>
      <protection locked="true" hidden="false"/>
    </xf>
    <xf numFmtId="164" fontId="44" fillId="23" borderId="17" xfId="0" applyFont="true" applyBorder="true" applyAlignment="true" applyProtection="true">
      <alignment horizontal="general" vertical="center" textRotation="0" wrapText="false" indent="0" shrinkToFit="false"/>
      <protection locked="false" hidden="false"/>
    </xf>
    <xf numFmtId="164" fontId="45" fillId="23" borderId="17" xfId="0" applyFont="true" applyBorder="true" applyAlignment="true" applyProtection="true">
      <alignment horizontal="general" vertical="center" textRotation="0" wrapText="false" indent="0" shrinkToFit="false"/>
      <protection locked="false" hidden="false"/>
    </xf>
    <xf numFmtId="164" fontId="44" fillId="23" borderId="17" xfId="0" applyFont="true" applyBorder="true" applyAlignment="true" applyProtection="true">
      <alignment horizontal="general" vertical="top" textRotation="0" wrapText="false" indent="0" shrinkToFit="false"/>
      <protection locked="false" hidden="false"/>
    </xf>
    <xf numFmtId="172" fontId="45" fillId="23" borderId="17" xfId="0" applyFont="true" applyBorder="true" applyAlignment="true" applyProtection="true">
      <alignment horizontal="general" vertical="center" textRotation="0" wrapText="false" indent="0" shrinkToFit="false"/>
      <protection locked="false" hidden="false"/>
    </xf>
    <xf numFmtId="166" fontId="45" fillId="23" borderId="17" xfId="15" applyFont="true" applyBorder="true" applyAlignment="true" applyProtection="true">
      <alignment horizontal="general" vertical="center" textRotation="0" wrapText="false" indent="0" shrinkToFit="false"/>
      <protection locked="false" hidden="false"/>
    </xf>
    <xf numFmtId="166" fontId="44" fillId="23" borderId="17" xfId="15" applyFont="true" applyBorder="true" applyAlignment="true" applyProtection="true">
      <alignment horizontal="general" vertical="bottom" textRotation="0" wrapText="false" indent="0" shrinkToFit="false"/>
      <protection locked="true" hidden="false"/>
    </xf>
    <xf numFmtId="164" fontId="46" fillId="0" borderId="0" xfId="0" applyFont="true" applyBorder="false" applyAlignment="true" applyProtection="true">
      <alignment horizontal="general" vertical="center" textRotation="0" wrapText="false" indent="0" shrinkToFit="false"/>
      <protection locked="false" hidden="false"/>
    </xf>
    <xf numFmtId="164" fontId="42" fillId="0" borderId="0" xfId="0" applyFont="true" applyBorder="false" applyAlignment="true" applyProtection="true">
      <alignment horizontal="center" vertical="center" textRotation="0" wrapText="false" indent="0" shrinkToFit="false"/>
      <protection locked="false" hidden="false"/>
    </xf>
    <xf numFmtId="164" fontId="41" fillId="14" borderId="0" xfId="0" applyFont="true" applyBorder="false" applyAlignment="false" applyProtection="false">
      <alignment horizontal="general" vertical="bottom" textRotation="0" wrapText="false" indent="0" shrinkToFit="false"/>
      <protection locked="true" hidden="false"/>
    </xf>
    <xf numFmtId="174" fontId="46" fillId="0" borderId="17" xfId="25" applyFont="true" applyBorder="true" applyAlignment="true" applyProtection="false">
      <alignment horizontal="left" vertical="center" textRotation="0" wrapText="false" indent="0" shrinkToFit="true"/>
      <protection locked="true" hidden="false"/>
    </xf>
    <xf numFmtId="164" fontId="42" fillId="0" borderId="17" xfId="25" applyFont="true" applyBorder="true" applyAlignment="true" applyProtection="false">
      <alignment horizontal="left" vertical="center" textRotation="0" wrapText="false" indent="0" shrinkToFit="false"/>
      <protection locked="true" hidden="false"/>
    </xf>
    <xf numFmtId="164" fontId="46" fillId="0" borderId="17" xfId="25" applyFont="true" applyBorder="true" applyAlignment="true" applyProtection="false">
      <alignment horizontal="left" vertical="top" textRotation="0" wrapText="true" indent="0" shrinkToFit="false"/>
      <protection locked="true" hidden="false"/>
    </xf>
    <xf numFmtId="164" fontId="46" fillId="0" borderId="17" xfId="25" applyFont="true" applyBorder="true" applyAlignment="true" applyProtection="false">
      <alignment horizontal="left" vertical="center" textRotation="0" wrapText="true" indent="0" shrinkToFit="false"/>
      <protection locked="true" hidden="false"/>
    </xf>
    <xf numFmtId="170" fontId="46" fillId="0" borderId="17" xfId="25" applyFont="true" applyBorder="true" applyAlignment="true" applyProtection="false">
      <alignment horizontal="center" vertical="center" textRotation="0" wrapText="false" indent="0" shrinkToFit="true"/>
      <protection locked="true" hidden="false"/>
    </xf>
    <xf numFmtId="166" fontId="42" fillId="0" borderId="17" xfId="15" applyFont="true" applyBorder="true" applyAlignment="true" applyProtection="true">
      <alignment horizontal="center" vertical="center" textRotation="0" wrapText="false" indent="0" shrinkToFit="true"/>
      <protection locked="true" hidden="false"/>
    </xf>
    <xf numFmtId="166" fontId="46" fillId="0" borderId="17" xfId="15" applyFont="true" applyBorder="true" applyAlignment="true" applyProtection="true">
      <alignment horizontal="center" vertical="center" textRotation="0" wrapText="false" indent="0" shrinkToFit="true"/>
      <protection locked="true" hidden="false"/>
    </xf>
    <xf numFmtId="164" fontId="41" fillId="0" borderId="0" xfId="0" applyFont="true" applyBorder="false" applyAlignment="true" applyProtection="false">
      <alignment horizontal="center" vertical="bottom" textRotation="0" wrapText="false" indent="0" shrinkToFit="false"/>
      <protection locked="true" hidden="false"/>
    </xf>
    <xf numFmtId="174" fontId="46" fillId="0" borderId="0" xfId="25" applyFont="true" applyBorder="false" applyAlignment="true" applyProtection="false">
      <alignment horizontal="left" vertical="center" textRotation="0" wrapText="false" indent="0" shrinkToFit="true"/>
      <protection locked="true" hidden="false"/>
    </xf>
    <xf numFmtId="164" fontId="42" fillId="0" borderId="0" xfId="25" applyFont="true" applyBorder="false" applyAlignment="true" applyProtection="false">
      <alignment horizontal="left" vertical="center" textRotation="0" wrapText="false" indent="0" shrinkToFit="false"/>
      <protection locked="true" hidden="false"/>
    </xf>
    <xf numFmtId="164" fontId="46" fillId="0" borderId="0" xfId="25" applyFont="true" applyBorder="false" applyAlignment="true" applyProtection="false">
      <alignment horizontal="left" vertical="top" textRotation="0" wrapText="true" indent="0" shrinkToFit="false"/>
      <protection locked="true" hidden="false"/>
    </xf>
    <xf numFmtId="164" fontId="46" fillId="0" borderId="0" xfId="25" applyFont="true" applyBorder="false" applyAlignment="true" applyProtection="false">
      <alignment horizontal="left" vertical="center" textRotation="0" wrapText="true" indent="0" shrinkToFit="false"/>
      <protection locked="true" hidden="false"/>
    </xf>
    <xf numFmtId="170" fontId="46" fillId="0" borderId="0" xfId="25" applyFont="true" applyBorder="false" applyAlignment="true" applyProtection="false">
      <alignment horizontal="center" vertical="center" textRotation="0" wrapText="false" indent="0" shrinkToFit="true"/>
      <protection locked="true" hidden="false"/>
    </xf>
    <xf numFmtId="166" fontId="42" fillId="0" borderId="0" xfId="15" applyFont="true" applyBorder="true" applyAlignment="true" applyProtection="true">
      <alignment horizontal="center" vertical="center" textRotation="0" wrapText="false" indent="0" shrinkToFit="true"/>
      <protection locked="true" hidden="false"/>
    </xf>
    <xf numFmtId="166" fontId="46" fillId="0" borderId="0" xfId="15" applyFont="true" applyBorder="true" applyAlignment="true" applyProtection="true">
      <alignment horizontal="center" vertical="center" textRotation="0" wrapText="false" indent="0" shrinkToFit="true"/>
      <protection locked="true" hidden="false"/>
    </xf>
    <xf numFmtId="164" fontId="42" fillId="14" borderId="0" xfId="0" applyFont="true" applyBorder="false" applyAlignment="false" applyProtection="false">
      <alignment horizontal="general" vertical="bottom" textRotation="0" wrapText="false" indent="0" shrinkToFit="false"/>
      <protection locked="true" hidden="false"/>
    </xf>
    <xf numFmtId="174" fontId="47" fillId="2" borderId="17" xfId="25" applyFont="true" applyBorder="true" applyAlignment="true" applyProtection="false">
      <alignment horizontal="left" vertical="center" textRotation="0" wrapText="false" indent="0" shrinkToFit="false"/>
      <protection locked="true" hidden="false"/>
    </xf>
    <xf numFmtId="174" fontId="41" fillId="2" borderId="17" xfId="25" applyFont="true" applyBorder="true" applyAlignment="true" applyProtection="false">
      <alignment horizontal="left" vertical="center" textRotation="0" wrapText="false" indent="0" shrinkToFit="false"/>
      <protection locked="true" hidden="false"/>
    </xf>
    <xf numFmtId="164" fontId="41" fillId="2" borderId="17" xfId="25" applyFont="true" applyBorder="true" applyAlignment="true" applyProtection="false">
      <alignment horizontal="left" vertical="top" textRotation="0" wrapText="false" indent="0" shrinkToFit="false"/>
      <protection locked="true" hidden="false"/>
    </xf>
    <xf numFmtId="164" fontId="41" fillId="2" borderId="17" xfId="25" applyFont="true" applyBorder="true" applyAlignment="true" applyProtection="false">
      <alignment horizontal="left" vertical="center" textRotation="0" wrapText="false" indent="0" shrinkToFit="false"/>
      <protection locked="true" hidden="false"/>
    </xf>
    <xf numFmtId="170" fontId="41" fillId="2" borderId="17" xfId="25" applyFont="true" applyBorder="true" applyAlignment="true" applyProtection="false">
      <alignment horizontal="center" vertical="center" textRotation="0" wrapText="false" indent="0" shrinkToFit="false"/>
      <protection locked="true" hidden="false"/>
    </xf>
    <xf numFmtId="166" fontId="42" fillId="2" borderId="17" xfId="15" applyFont="true" applyBorder="true" applyAlignment="true" applyProtection="true">
      <alignment horizontal="center" vertical="center" textRotation="0" wrapText="false" indent="0" shrinkToFit="false"/>
      <protection locked="true" hidden="false"/>
    </xf>
    <xf numFmtId="166" fontId="48" fillId="2" borderId="17" xfId="15" applyFont="true" applyBorder="true" applyAlignment="true" applyProtection="true">
      <alignment horizontal="center" vertical="center" textRotation="0" wrapText="false" indent="0" shrinkToFit="false"/>
      <protection locked="true" hidden="false"/>
    </xf>
    <xf numFmtId="164" fontId="41" fillId="0" borderId="20" xfId="25" applyFont="true" applyBorder="true" applyAlignment="true" applyProtection="false">
      <alignment horizontal="left" vertical="center" textRotation="0" wrapText="false" indent="0" shrinkToFit="false"/>
      <protection locked="true" hidden="false"/>
    </xf>
    <xf numFmtId="164" fontId="47" fillId="0" borderId="20" xfId="25" applyFont="true" applyBorder="true" applyAlignment="true" applyProtection="false">
      <alignment horizontal="left" vertical="center" textRotation="0" wrapText="false" indent="0" shrinkToFit="false"/>
      <protection locked="true" hidden="false"/>
    </xf>
    <xf numFmtId="170" fontId="47" fillId="0" borderId="20" xfId="25" applyFont="true" applyBorder="true" applyAlignment="true" applyProtection="false">
      <alignment horizontal="center" vertical="center" textRotation="0" wrapText="false" indent="0" shrinkToFit="false"/>
      <protection locked="true" hidden="false"/>
    </xf>
    <xf numFmtId="166" fontId="47" fillId="0" borderId="20" xfId="15" applyFont="true" applyBorder="true" applyAlignment="true" applyProtection="true">
      <alignment horizontal="center" vertical="center" textRotation="0" wrapText="false" indent="0" shrinkToFit="false"/>
      <protection locked="true" hidden="false"/>
    </xf>
    <xf numFmtId="164" fontId="40" fillId="0" borderId="0" xfId="26" applyFont="true" applyBorder="false" applyAlignment="true" applyProtection="false">
      <alignment horizontal="left" vertical="center" textRotation="0" wrapText="true" indent="0" shrinkToFit="false"/>
      <protection locked="true" hidden="false"/>
    </xf>
    <xf numFmtId="164" fontId="47" fillId="0" borderId="0" xfId="25" applyFont="true" applyBorder="false" applyAlignment="true" applyProtection="false">
      <alignment horizontal="left" vertical="center" textRotation="0" wrapText="true" indent="0" shrinkToFit="false"/>
      <protection locked="true" hidden="false"/>
    </xf>
    <xf numFmtId="170" fontId="40" fillId="0" borderId="0" xfId="25" applyFont="true" applyBorder="false" applyAlignment="true" applyProtection="false">
      <alignment horizontal="center" vertical="center" textRotation="0" wrapText="false" indent="0" shrinkToFit="false"/>
      <protection locked="true" hidden="false"/>
    </xf>
    <xf numFmtId="166" fontId="40" fillId="0" borderId="0" xfId="15" applyFont="true" applyBorder="true" applyAlignment="true" applyProtection="true">
      <alignment horizontal="center" vertical="center" textRotation="0" wrapText="false" indent="0" shrinkToFit="false"/>
      <protection locked="true" hidden="false"/>
    </xf>
    <xf numFmtId="166" fontId="40" fillId="0" borderId="0" xfId="15" applyFont="true" applyBorder="true" applyAlignment="true" applyProtection="true">
      <alignment horizontal="general" vertical="bottom" textRotation="0" wrapText="false" indent="0" shrinkToFit="false"/>
      <protection locked="true" hidden="false"/>
    </xf>
    <xf numFmtId="164" fontId="49" fillId="0" borderId="0" xfId="26" applyFont="true" applyBorder="false" applyAlignment="true" applyProtection="false">
      <alignment horizontal="left" vertical="center" textRotation="0" wrapText="true" indent="0" shrinkToFit="false"/>
      <protection locked="true" hidden="false"/>
    </xf>
    <xf numFmtId="164" fontId="41" fillId="0" borderId="0" xfId="25" applyFont="true" applyBorder="false" applyAlignment="true" applyProtection="false">
      <alignment horizontal="left" vertical="center" textRotation="0" wrapText="true" indent="0" shrinkToFit="false"/>
      <protection locked="true" hidden="false"/>
    </xf>
    <xf numFmtId="170" fontId="42" fillId="0" borderId="0" xfId="25" applyFont="true" applyBorder="false" applyAlignment="true" applyProtection="false">
      <alignment horizontal="center" vertical="center" textRotation="0" wrapText="false" indent="0" shrinkToFit="false"/>
      <protection locked="true" hidden="false"/>
    </xf>
    <xf numFmtId="166" fontId="42" fillId="0" borderId="0" xfId="15" applyFont="true" applyBorder="true" applyAlignment="true" applyProtection="true">
      <alignment horizontal="center" vertical="center" textRotation="0" wrapText="false" indent="0" shrinkToFit="false"/>
      <protection locked="true" hidden="false"/>
    </xf>
    <xf numFmtId="164" fontId="42" fillId="0" borderId="0" xfId="26" applyFont="true" applyBorder="false" applyAlignment="true" applyProtection="false">
      <alignment horizontal="right" vertical="top" textRotation="0" wrapText="true" indent="0" shrinkToFit="false"/>
      <protection locked="true" hidden="false"/>
    </xf>
    <xf numFmtId="164" fontId="39" fillId="0" borderId="0" xfId="26" applyFont="true" applyBorder="false" applyAlignment="true" applyProtection="false">
      <alignment horizontal="right" vertical="top" textRotation="0" wrapText="true" indent="0" shrinkToFit="false"/>
      <protection locked="true" hidden="false"/>
    </xf>
    <xf numFmtId="170" fontId="39" fillId="0" borderId="0" xfId="25" applyFont="true" applyBorder="false" applyAlignment="true" applyProtection="false">
      <alignment horizontal="center" vertical="center" textRotation="0" wrapText="false" indent="0" shrinkToFit="false"/>
      <protection locked="true" hidden="false"/>
    </xf>
    <xf numFmtId="164" fontId="40" fillId="0" borderId="0" xfId="26" applyFont="true" applyBorder="false" applyAlignment="true" applyProtection="false">
      <alignment horizontal="left" vertical="top" textRotation="0" wrapText="true" indent="0" shrinkToFit="false"/>
      <protection locked="true" hidden="false"/>
    </xf>
    <xf numFmtId="164" fontId="39" fillId="14" borderId="0" xfId="0" applyFont="true" applyBorder="false" applyAlignment="false" applyProtection="false">
      <alignment horizontal="general" vertical="bottom" textRotation="0" wrapText="false" indent="0" shrinkToFit="false"/>
      <protection locked="true" hidden="false"/>
    </xf>
    <xf numFmtId="164" fontId="39" fillId="0" borderId="0" xfId="25" applyFont="true" applyBorder="false" applyAlignment="true" applyProtection="false">
      <alignment horizontal="left" vertical="center" textRotation="0" wrapText="false" indent="0" shrinkToFit="false"/>
      <protection locked="true" hidden="false"/>
    </xf>
    <xf numFmtId="164" fontId="50" fillId="0" borderId="0" xfId="26" applyFont="true" applyBorder="false" applyAlignment="true" applyProtection="false">
      <alignment horizontal="left" vertical="center" textRotation="0" wrapText="true" indent="0" shrinkToFit="false"/>
      <protection locked="true" hidden="false"/>
    </xf>
    <xf numFmtId="164" fontId="51" fillId="0" borderId="0" xfId="25" applyFont="true" applyBorder="false" applyAlignment="true" applyProtection="false">
      <alignment horizontal="left" vertical="center" textRotation="0" wrapText="true" indent="0" shrinkToFit="false"/>
      <protection locked="true" hidden="false"/>
    </xf>
    <xf numFmtId="166" fontId="39" fillId="0" borderId="0" xfId="15" applyFont="true" applyBorder="true" applyAlignment="true" applyProtection="true">
      <alignment horizontal="center" vertical="center" textRotation="0" wrapText="false" indent="0" shrinkToFit="false"/>
      <protection locked="true" hidden="false"/>
    </xf>
    <xf numFmtId="166" fontId="52" fillId="0" borderId="0" xfId="15" applyFont="true" applyBorder="true" applyAlignment="true" applyProtection="true">
      <alignment horizontal="center" vertical="center" textRotation="0" wrapText="false" indent="0" shrinkToFit="false"/>
      <protection locked="true" hidden="false"/>
    </xf>
    <xf numFmtId="166" fontId="52" fillId="0" borderId="0" xfId="15" applyFont="true" applyBorder="true" applyAlignment="true" applyProtection="true">
      <alignment horizontal="general" vertical="bottom" textRotation="0" wrapText="false" indent="0" shrinkToFit="false"/>
      <protection locked="true" hidden="false"/>
    </xf>
    <xf numFmtId="174" fontId="51" fillId="0" borderId="0" xfId="25" applyFont="true" applyBorder="false" applyAlignment="true" applyProtection="false">
      <alignment horizontal="left" vertical="center" textRotation="0" wrapText="false" indent="0" shrinkToFit="false"/>
      <protection locked="true" hidden="false"/>
    </xf>
    <xf numFmtId="164" fontId="52" fillId="0" borderId="0" xfId="26" applyFont="true" applyBorder="false" applyAlignment="true" applyProtection="false">
      <alignment horizontal="left" vertical="center" textRotation="0" wrapText="true" indent="0" shrinkToFit="false"/>
      <protection locked="true" hidden="false"/>
    </xf>
    <xf numFmtId="170" fontId="52" fillId="0" borderId="0" xfId="25" applyFont="true" applyBorder="false" applyAlignment="true" applyProtection="false">
      <alignment horizontal="center" vertical="center" textRotation="0" wrapText="false" indent="0" shrinkToFit="false"/>
      <protection locked="true" hidden="false"/>
    </xf>
    <xf numFmtId="164" fontId="52" fillId="0" borderId="0" xfId="25" applyFont="true" applyBorder="false" applyAlignment="true" applyProtection="false">
      <alignment horizontal="center" vertical="center" textRotation="0" wrapText="false" indent="0" shrinkToFit="false"/>
      <protection locked="true" hidden="false"/>
    </xf>
    <xf numFmtId="176" fontId="52" fillId="0" borderId="0" xfId="25" applyFont="true" applyBorder="false" applyAlignment="true" applyProtection="false">
      <alignment horizontal="center" vertical="center" textRotation="0" wrapText="false" indent="0" shrinkToFit="false"/>
      <protection locked="true" hidden="false"/>
    </xf>
    <xf numFmtId="166" fontId="53" fillId="0" borderId="0" xfId="15" applyFont="true" applyBorder="true" applyAlignment="true" applyProtection="true">
      <alignment horizontal="center" vertical="center" textRotation="0" wrapText="false" indent="0" shrinkToFit="false"/>
      <protection locked="true" hidden="false"/>
    </xf>
    <xf numFmtId="164" fontId="47" fillId="0" borderId="20" xfId="25" applyFont="true" applyBorder="true" applyAlignment="true" applyProtection="false">
      <alignment horizontal="left" vertical="top" textRotation="0" wrapText="false" indent="0" shrinkToFit="false"/>
      <protection locked="true" hidden="false"/>
    </xf>
    <xf numFmtId="174" fontId="41" fillId="0" borderId="0" xfId="25" applyFont="true" applyBorder="false" applyAlignment="true" applyProtection="false">
      <alignment horizontal="left" vertical="center" textRotation="0" wrapText="false" indent="0" shrinkToFit="false"/>
      <protection locked="true" hidden="false"/>
    </xf>
    <xf numFmtId="170" fontId="47" fillId="0" borderId="0" xfId="25" applyFont="true" applyBorder="false" applyAlignment="true" applyProtection="false">
      <alignment horizontal="center" vertical="center" textRotation="0" wrapText="false" indent="0" shrinkToFit="false"/>
      <protection locked="true" hidden="false"/>
    </xf>
    <xf numFmtId="166" fontId="48" fillId="0" borderId="0" xfId="15" applyFont="true" applyBorder="true" applyAlignment="true" applyProtection="true">
      <alignment horizontal="center" vertical="center" textRotation="0" wrapText="false" indent="0" shrinkToFit="false"/>
      <protection locked="true" hidden="false"/>
    </xf>
    <xf numFmtId="170" fontId="42" fillId="0" borderId="0" xfId="26" applyFont="true" applyBorder="false" applyAlignment="true" applyProtection="false">
      <alignment horizontal="left" vertical="center" textRotation="0" wrapText="true" indent="0" shrinkToFit="false"/>
      <protection locked="true" hidden="false"/>
    </xf>
    <xf numFmtId="170" fontId="39" fillId="0" borderId="0" xfId="26" applyFont="true" applyBorder="false" applyAlignment="true" applyProtection="false">
      <alignment horizontal="left" vertical="center" textRotation="0" wrapText="true" indent="0" shrinkToFit="false"/>
      <protection locked="true" hidden="false"/>
    </xf>
    <xf numFmtId="164" fontId="52" fillId="0" borderId="0" xfId="26" applyFont="true" applyBorder="false" applyAlignment="true" applyProtection="false">
      <alignment horizontal="right" vertical="center" textRotation="0" wrapText="true" indent="0" shrinkToFit="false"/>
      <protection locked="true" hidden="false"/>
    </xf>
    <xf numFmtId="170" fontId="42" fillId="0" borderId="0" xfId="26" applyFont="true" applyBorder="false" applyAlignment="true" applyProtection="false">
      <alignment horizontal="right" vertical="top" textRotation="0" wrapText="true" indent="0" shrinkToFit="false"/>
      <protection locked="true" hidden="false"/>
    </xf>
    <xf numFmtId="175" fontId="41" fillId="0" borderId="20" xfId="25" applyFont="true" applyBorder="true" applyAlignment="true" applyProtection="false">
      <alignment horizontal="left" vertical="center" textRotation="0" wrapText="false" indent="0" shrinkToFit="false"/>
      <protection locked="true" hidden="false"/>
    </xf>
    <xf numFmtId="164" fontId="40" fillId="0" borderId="0" xfId="26" applyFont="true" applyBorder="false" applyAlignment="true" applyProtection="false">
      <alignment horizontal="right" vertical="center" textRotation="0" wrapText="true" indent="0" shrinkToFit="false"/>
      <protection locked="true" hidden="false"/>
    </xf>
    <xf numFmtId="164" fontId="42" fillId="4" borderId="0" xfId="0" applyFont="true" applyBorder="false" applyAlignment="false" applyProtection="false">
      <alignment horizontal="general" vertical="bottom" textRotation="0" wrapText="false" indent="0" shrinkToFit="false"/>
      <protection locked="true" hidden="false"/>
    </xf>
    <xf numFmtId="164" fontId="42" fillId="0" borderId="0" xfId="26" applyFont="true" applyBorder="false" applyAlignment="true" applyProtection="false">
      <alignment horizontal="right" vertical="center" textRotation="0" wrapText="true" indent="0" shrinkToFit="false"/>
      <protection locked="true" hidden="false"/>
    </xf>
    <xf numFmtId="170" fontId="42" fillId="0" borderId="0" xfId="26" applyFont="true" applyBorder="false" applyAlignment="true" applyProtection="false">
      <alignment horizontal="right" vertical="center" textRotation="0" wrapText="true" indent="0" shrinkToFit="false"/>
      <protection locked="true" hidden="false"/>
    </xf>
    <xf numFmtId="164" fontId="42" fillId="0" borderId="0" xfId="25" applyFont="true" applyBorder="false" applyAlignment="true" applyProtection="false">
      <alignment horizontal="center" vertical="center" textRotation="0" wrapText="false" indent="0" shrinkToFit="false"/>
      <protection locked="true" hidden="false"/>
    </xf>
    <xf numFmtId="176" fontId="42" fillId="0" borderId="0" xfId="25" applyFont="true" applyBorder="false" applyAlignment="true" applyProtection="false">
      <alignment horizontal="center" vertical="center" textRotation="0" wrapText="false" indent="0" shrinkToFit="false"/>
      <protection locked="true" hidden="false"/>
    </xf>
    <xf numFmtId="164" fontId="39" fillId="4" borderId="0" xfId="0" applyFont="true" applyBorder="false" applyAlignment="false" applyProtection="false">
      <alignment horizontal="general" vertical="bottom" textRotation="0" wrapText="false" indent="0" shrinkToFit="false"/>
      <protection locked="true" hidden="false"/>
    </xf>
    <xf numFmtId="164" fontId="40" fillId="0" borderId="0" xfId="25" applyFont="true" applyBorder="false" applyAlignment="true" applyProtection="false">
      <alignment horizontal="center" vertical="center" textRotation="0" wrapText="false" indent="0" shrinkToFit="false"/>
      <protection locked="true" hidden="false"/>
    </xf>
    <xf numFmtId="176" fontId="40" fillId="0" borderId="0" xfId="25" applyFont="true" applyBorder="false" applyAlignment="true" applyProtection="false">
      <alignment horizontal="center" vertical="center" textRotation="0" wrapText="false" indent="0" shrinkToFit="false"/>
      <protection locked="true" hidden="false"/>
    </xf>
    <xf numFmtId="170" fontId="54" fillId="0" borderId="0" xfId="25" applyFont="true" applyBorder="false" applyAlignment="true" applyProtection="false">
      <alignment horizontal="center" vertical="center" textRotation="0" wrapText="false" indent="0" shrinkToFit="false"/>
      <protection locked="true" hidden="false"/>
    </xf>
    <xf numFmtId="166" fontId="55" fillId="0" borderId="0" xfId="0" applyFont="true" applyBorder="false" applyAlignment="false" applyProtection="false">
      <alignment horizontal="general" vertical="bottom" textRotation="0" wrapText="false" indent="0" shrinkToFit="false"/>
      <protection locked="true" hidden="false"/>
    </xf>
    <xf numFmtId="164" fontId="42" fillId="0" borderId="0" xfId="0" applyFont="true" applyBorder="false" applyAlignment="true" applyProtection="false">
      <alignment horizontal="general" vertical="top" textRotation="0" wrapText="false" indent="0" shrinkToFit="false"/>
      <protection locked="true" hidden="false"/>
    </xf>
    <xf numFmtId="164" fontId="47" fillId="0" borderId="0" xfId="0" applyFont="true" applyBorder="false" applyAlignment="true" applyProtection="true">
      <alignment horizontal="general" vertical="center" textRotation="0" wrapText="false" indent="0" shrinkToFit="false"/>
      <protection locked="false" hidden="false"/>
    </xf>
    <xf numFmtId="164" fontId="40" fillId="0" borderId="0" xfId="0" applyFont="true" applyBorder="false" applyAlignment="true" applyProtection="true">
      <alignment horizontal="general" vertical="center" textRotation="0" wrapText="false" indent="0" shrinkToFit="false"/>
      <protection locked="false" hidden="false"/>
    </xf>
    <xf numFmtId="164" fontId="40" fillId="0" borderId="0" xfId="0" applyFont="true" applyBorder="false" applyAlignment="true" applyProtection="true">
      <alignment horizontal="general" vertical="top" textRotation="0" wrapText="false" indent="0" shrinkToFit="false"/>
      <protection locked="false" hidden="false"/>
    </xf>
    <xf numFmtId="172" fontId="40" fillId="0" borderId="0" xfId="0" applyFont="true" applyBorder="false" applyAlignment="true" applyProtection="true">
      <alignment horizontal="general" vertical="center" textRotation="0" wrapText="false" indent="0" shrinkToFit="false"/>
      <protection locked="false" hidden="false"/>
    </xf>
    <xf numFmtId="166" fontId="40" fillId="0" borderId="0" xfId="15" applyFont="true" applyBorder="true" applyAlignment="true" applyProtection="true">
      <alignment horizontal="general" vertical="center" textRotation="0" wrapText="false" indent="0" shrinkToFit="false"/>
      <protection locked="false" hidden="false"/>
    </xf>
    <xf numFmtId="166" fontId="47" fillId="0" borderId="0" xfId="15" applyFont="true" applyBorder="true" applyAlignment="true" applyProtection="true">
      <alignment horizontal="general" vertical="bottom" textRotation="0" wrapText="false" indent="0" shrinkToFit="false"/>
      <protection locked="true" hidden="false"/>
    </xf>
    <xf numFmtId="164" fontId="42" fillId="0" borderId="0" xfId="0" applyFont="true" applyBorder="false" applyAlignment="true" applyProtection="false">
      <alignment horizontal="center" vertical="bottom" textRotation="0" wrapText="false" indent="0" shrinkToFit="false"/>
      <protection locked="true" hidden="false"/>
    </xf>
    <xf numFmtId="166" fontId="42" fillId="0" borderId="0" xfId="0" applyFont="true" applyBorder="false" applyAlignment="false" applyProtection="false">
      <alignment horizontal="general" vertical="bottom" textRotation="0" wrapText="false" indent="0" shrinkToFit="false"/>
      <protection locked="true" hidden="false"/>
    </xf>
    <xf numFmtId="164" fontId="52" fillId="14" borderId="0" xfId="0" applyFont="true" applyBorder="false" applyAlignment="false" applyProtection="false">
      <alignment horizontal="general" vertical="bottom" textRotation="0" wrapText="false" indent="0" shrinkToFit="false"/>
      <protection locked="true" hidden="false"/>
    </xf>
    <xf numFmtId="164" fontId="51" fillId="14" borderId="0" xfId="0" applyFont="true" applyBorder="false" applyAlignment="false" applyProtection="false">
      <alignment horizontal="general" vertical="bottom" textRotation="0" wrapText="false" indent="0" shrinkToFit="false"/>
      <protection locked="true" hidden="false"/>
    </xf>
    <xf numFmtId="164" fontId="42" fillId="0" borderId="0" xfId="0" applyFont="true" applyBorder="false" applyAlignment="false" applyProtection="false">
      <alignment horizontal="general" vertical="bottom" textRotation="0" wrapText="false" indent="0" shrinkToFit="false"/>
      <protection locked="true" hidden="false"/>
    </xf>
    <xf numFmtId="164" fontId="41" fillId="0" borderId="20" xfId="25" applyFont="true" applyBorder="true" applyAlignment="true" applyProtection="false">
      <alignment horizontal="left" vertical="center" textRotation="0" wrapText="false" indent="0" shrinkToFit="false"/>
      <protection locked="true" hidden="false"/>
    </xf>
    <xf numFmtId="164" fontId="47" fillId="0" borderId="20" xfId="25" applyFont="true" applyBorder="true" applyAlignment="true" applyProtection="false">
      <alignment horizontal="left" vertical="top" textRotation="0" wrapText="false" indent="0" shrinkToFit="false"/>
      <protection locked="true" hidden="false"/>
    </xf>
    <xf numFmtId="164" fontId="47" fillId="0" borderId="20" xfId="25" applyFont="true" applyBorder="true" applyAlignment="true" applyProtection="false">
      <alignment horizontal="left" vertical="center" textRotation="0" wrapText="false" indent="0" shrinkToFit="false"/>
      <protection locked="true" hidden="false"/>
    </xf>
    <xf numFmtId="170" fontId="47" fillId="0" borderId="20" xfId="25" applyFont="true" applyBorder="true" applyAlignment="true" applyProtection="false">
      <alignment horizontal="center" vertical="center" textRotation="0" wrapText="false" indent="0" shrinkToFit="false"/>
      <protection locked="true" hidden="false"/>
    </xf>
    <xf numFmtId="164" fontId="42" fillId="0" borderId="0" xfId="26" applyFont="true" applyBorder="false" applyAlignment="true" applyProtection="false">
      <alignment horizontal="center" vertical="center" textRotation="0" wrapText="true" indent="0" shrinkToFit="false"/>
      <protection locked="true" hidden="false"/>
    </xf>
    <xf numFmtId="170" fontId="42" fillId="0" borderId="0" xfId="15" applyFont="true" applyBorder="true" applyAlignment="true" applyProtection="true">
      <alignment horizontal="center" vertical="center" textRotation="0" wrapText="false" indent="0" shrinkToFit="false"/>
      <protection locked="true" hidden="false"/>
    </xf>
    <xf numFmtId="168" fontId="42" fillId="0" borderId="0" xfId="26" applyFont="true" applyBorder="false" applyAlignment="true" applyProtection="false">
      <alignment horizontal="center" vertical="center" textRotation="0" wrapText="true" indent="0" shrinkToFit="false"/>
      <protection locked="true" hidden="false"/>
    </xf>
    <xf numFmtId="170" fontId="42" fillId="0" borderId="0" xfId="26" applyFont="true" applyBorder="false" applyAlignment="true" applyProtection="false">
      <alignment horizontal="center" vertical="center" textRotation="0" wrapText="true" indent="0" shrinkToFit="false"/>
      <protection locked="true" hidden="false"/>
    </xf>
    <xf numFmtId="164" fontId="42" fillId="0" borderId="0" xfId="26" applyFont="true" applyBorder="false" applyAlignment="true" applyProtection="false">
      <alignment horizontal="left" vertical="top" textRotation="0" wrapText="true" indent="0" shrinkToFit="false"/>
      <protection locked="true" hidden="false"/>
    </xf>
    <xf numFmtId="164" fontId="56" fillId="0" borderId="0" xfId="0" applyFont="true" applyBorder="false" applyAlignment="false" applyProtection="false">
      <alignment horizontal="general" vertical="bottom" textRotation="0" wrapText="false" indent="0" shrinkToFit="false"/>
      <protection locked="true" hidden="false"/>
    </xf>
    <xf numFmtId="164" fontId="57" fillId="14" borderId="0" xfId="0" applyFont="true" applyBorder="false" applyAlignment="false" applyProtection="false">
      <alignment horizontal="general" vertical="bottom" textRotation="0" wrapText="false" indent="0" shrinkToFit="false"/>
      <protection locked="true" hidden="false"/>
    </xf>
    <xf numFmtId="164" fontId="57" fillId="0" borderId="0" xfId="25" applyFont="true" applyBorder="false" applyAlignment="true" applyProtection="false">
      <alignment horizontal="left" vertical="center" textRotation="0" wrapText="false" indent="0" shrinkToFit="false"/>
      <protection locked="true" hidden="false"/>
    </xf>
    <xf numFmtId="164" fontId="57" fillId="0" borderId="0" xfId="26" applyFont="true" applyBorder="false" applyAlignment="true" applyProtection="false">
      <alignment horizontal="right" vertical="top" textRotation="0" wrapText="true" indent="0" shrinkToFit="false"/>
      <protection locked="true" hidden="false"/>
    </xf>
    <xf numFmtId="170" fontId="57" fillId="0" borderId="0" xfId="25" applyFont="true" applyBorder="false" applyAlignment="true" applyProtection="false">
      <alignment horizontal="center" vertical="center" textRotation="0" wrapText="false" indent="0" shrinkToFit="false"/>
      <protection locked="true" hidden="false"/>
    </xf>
    <xf numFmtId="166" fontId="57" fillId="0" borderId="0" xfId="15" applyFont="true" applyBorder="true" applyAlignment="true" applyProtection="true">
      <alignment horizontal="center" vertical="center" textRotation="0" wrapText="false" indent="0" shrinkToFit="false"/>
      <protection locked="true" hidden="false"/>
    </xf>
    <xf numFmtId="166" fontId="57" fillId="0" borderId="0" xfId="15" applyFont="true" applyBorder="true" applyAlignment="true" applyProtection="true">
      <alignment horizontal="general" vertical="bottom" textRotation="0" wrapText="false" indent="0" shrinkToFit="false"/>
      <protection locked="true" hidden="false"/>
    </xf>
    <xf numFmtId="164" fontId="57" fillId="0" borderId="0" xfId="0" applyFont="true" applyBorder="false" applyAlignment="false" applyProtection="false">
      <alignment horizontal="general" vertical="bottom" textRotation="0" wrapText="false" indent="0" shrinkToFit="false"/>
      <protection locked="true" hidden="false"/>
    </xf>
    <xf numFmtId="164" fontId="49" fillId="0" borderId="0" xfId="0" applyFont="true" applyBorder="false" applyAlignment="true" applyProtection="false">
      <alignment horizontal="general" vertical="top" textRotation="0" wrapText="true" indent="0" shrinkToFit="false"/>
      <protection locked="true" hidden="false"/>
    </xf>
    <xf numFmtId="164" fontId="58" fillId="0" borderId="0" xfId="0" applyFont="true" applyBorder="false" applyAlignment="true" applyProtection="false">
      <alignment horizontal="general" vertical="top" textRotation="0" wrapText="true" indent="0" shrinkToFit="false"/>
      <protection locked="true" hidden="false"/>
    </xf>
    <xf numFmtId="170" fontId="42" fillId="0" borderId="0" xfId="0" applyFont="true" applyBorder="false" applyAlignment="true" applyProtection="false">
      <alignment horizontal="center" vertical="bottom" textRotation="0" wrapText="false" indent="0" shrinkToFit="false"/>
      <protection locked="true" hidden="false"/>
    </xf>
    <xf numFmtId="170" fontId="42" fillId="0" borderId="0" xfId="0" applyFont="true" applyBorder="false" applyAlignment="false" applyProtection="false">
      <alignment horizontal="general" vertical="bottom" textRotation="0" wrapText="false" indent="0" shrinkToFit="false"/>
      <protection locked="true" hidden="false"/>
    </xf>
    <xf numFmtId="170" fontId="42" fillId="0" borderId="0" xfId="0" applyFont="true" applyBorder="false" applyAlignment="true" applyProtection="false">
      <alignment horizontal="right" vertical="bottom" textRotation="0" wrapText="false" indent="0" shrinkToFit="false"/>
      <protection locked="true" hidden="false"/>
    </xf>
    <xf numFmtId="164" fontId="42" fillId="0" borderId="0" xfId="0" applyFont="true" applyBorder="false" applyAlignment="true" applyProtection="false">
      <alignment horizontal="general" vertical="bottom" textRotation="0" wrapText="true" indent="0" shrinkToFit="false"/>
      <protection locked="true" hidden="false"/>
    </xf>
    <xf numFmtId="168" fontId="42" fillId="0" borderId="0" xfId="0" applyFont="true" applyBorder="false" applyAlignment="true" applyProtection="false">
      <alignment horizontal="center" vertical="bottom" textRotation="0" wrapText="false" indent="0" shrinkToFit="false"/>
      <protection locked="true" hidden="false"/>
    </xf>
    <xf numFmtId="164" fontId="49" fillId="0" borderId="0" xfId="0" applyFont="true" applyBorder="false" applyAlignment="true" applyProtection="false">
      <alignment horizontal="left" vertical="top" textRotation="0" wrapText="true" indent="0" shrinkToFit="false"/>
      <protection locked="true" hidden="false"/>
    </xf>
    <xf numFmtId="166" fontId="54" fillId="0" borderId="20" xfId="15" applyFont="true" applyBorder="true" applyAlignment="true" applyProtection="true">
      <alignment horizontal="center" vertical="center" textRotation="0" wrapText="false" indent="0" shrinkToFit="false"/>
      <protection locked="true" hidden="false"/>
    </xf>
    <xf numFmtId="171" fontId="59" fillId="0" borderId="22" xfId="0" applyFont="true" applyBorder="true" applyAlignment="true" applyProtection="false">
      <alignment horizontal="general" vertical="center" textRotation="0" wrapText="false" indent="0" shrinkToFit="false"/>
      <protection locked="true" hidden="false"/>
    </xf>
    <xf numFmtId="166" fontId="40" fillId="0" borderId="0" xfId="0" applyFont="true" applyBorder="false" applyAlignment="false" applyProtection="false">
      <alignment horizontal="general" vertical="bottom" textRotation="0" wrapText="false" indent="0" shrinkToFit="false"/>
      <protection locked="true" hidden="false"/>
    </xf>
    <xf numFmtId="164" fontId="58" fillId="0" borderId="0" xfId="0" applyFont="true" applyBorder="false" applyAlignment="false" applyProtection="false">
      <alignment horizontal="general" vertical="bottom" textRotation="0" wrapText="false" indent="0" shrinkToFit="false"/>
      <protection locked="true" hidden="false"/>
    </xf>
    <xf numFmtId="164" fontId="58" fillId="0" borderId="0" xfId="0" applyFont="true" applyBorder="false" applyAlignment="true" applyProtection="false">
      <alignment horizontal="general" vertical="bottom" textRotation="0" wrapText="true" indent="0" shrinkToFit="false"/>
      <protection locked="true" hidden="false"/>
    </xf>
    <xf numFmtId="164" fontId="49" fillId="0" borderId="0" xfId="0" applyFont="true" applyBorder="false" applyAlignment="false" applyProtection="false">
      <alignment horizontal="general" vertical="bottom" textRotation="0" wrapText="false" indent="0" shrinkToFit="false"/>
      <protection locked="true" hidden="false"/>
    </xf>
    <xf numFmtId="164" fontId="49" fillId="0" borderId="0" xfId="0" applyFont="true" applyBorder="false" applyAlignment="true" applyProtection="false">
      <alignment horizontal="general" vertical="bottom" textRotation="0" wrapText="true" indent="0" shrinkToFit="false"/>
      <protection locked="true" hidden="false"/>
    </xf>
    <xf numFmtId="164" fontId="49" fillId="2" borderId="0" xfId="0" applyFont="true" applyBorder="false" applyAlignment="false" applyProtection="false">
      <alignment horizontal="general" vertical="bottom" textRotation="0" wrapText="false" indent="0" shrinkToFit="false"/>
      <protection locked="true" hidden="false"/>
    </xf>
    <xf numFmtId="164" fontId="49" fillId="2" borderId="0" xfId="0" applyFont="true" applyBorder="false" applyAlignment="true" applyProtection="false">
      <alignment horizontal="general" vertical="top" textRotation="0" wrapText="true" indent="0" shrinkToFit="false"/>
      <protection locked="true" hidden="false"/>
    </xf>
    <xf numFmtId="164" fontId="49" fillId="2" borderId="0" xfId="0" applyFont="true" applyBorder="false" applyAlignment="true" applyProtection="false">
      <alignment horizontal="general" vertical="bottom" textRotation="0" wrapText="true" indent="0" shrinkToFit="false"/>
      <protection locked="true" hidden="false"/>
    </xf>
    <xf numFmtId="166" fontId="49" fillId="0" borderId="0" xfId="15" applyFont="true" applyBorder="true" applyAlignment="true" applyProtection="true">
      <alignment horizontal="center" vertical="center" textRotation="0" wrapText="false" indent="0" shrinkToFit="false"/>
      <protection locked="true" hidden="false"/>
    </xf>
    <xf numFmtId="164" fontId="49" fillId="0" borderId="0" xfId="26" applyFont="true" applyBorder="false" applyAlignment="true" applyProtection="false">
      <alignment horizontal="right" vertical="center" textRotation="0" wrapText="true" indent="0" shrinkToFit="false"/>
      <protection locked="true" hidden="false"/>
    </xf>
    <xf numFmtId="164" fontId="49" fillId="0" borderId="0" xfId="26" applyFont="true" applyBorder="false" applyAlignment="true" applyProtection="false">
      <alignment horizontal="center" vertical="center" textRotation="0" wrapText="true" indent="0" shrinkToFit="false"/>
      <protection locked="true" hidden="false"/>
    </xf>
    <xf numFmtId="164" fontId="60" fillId="0" borderId="0" xfId="0" applyFont="true" applyBorder="false" applyAlignment="true" applyProtection="false">
      <alignment horizontal="general" vertical="bottom" textRotation="0" wrapText="true" indent="0" shrinkToFit="false"/>
      <protection locked="true" hidden="false"/>
    </xf>
    <xf numFmtId="164" fontId="60" fillId="0" borderId="0" xfId="0" applyFont="true" applyBorder="false" applyAlignment="false" applyProtection="false">
      <alignment horizontal="general" vertical="bottom" textRotation="0" wrapText="false" indent="0" shrinkToFit="false"/>
      <protection locked="true" hidden="false"/>
    </xf>
    <xf numFmtId="164" fontId="58" fillId="0" borderId="0" xfId="0" applyFont="true" applyBorder="false" applyAlignment="false" applyProtection="false">
      <alignment horizontal="general" vertical="bottom" textRotation="0" wrapText="false" indent="0" shrinkToFit="false"/>
      <protection locked="true" hidden="false"/>
    </xf>
    <xf numFmtId="164" fontId="58" fillId="0" borderId="0" xfId="0" applyFont="true" applyBorder="false" applyAlignment="true" applyProtection="false">
      <alignment horizontal="general" vertical="top" textRotation="0" wrapText="true" indent="0" shrinkToFit="false"/>
      <protection locked="true" hidden="false"/>
    </xf>
    <xf numFmtId="164" fontId="60" fillId="0" borderId="0" xfId="0" applyFont="true" applyBorder="false" applyAlignment="true" applyProtection="false">
      <alignment horizontal="general" vertical="bottom" textRotation="0" wrapText="true" indent="0" shrinkToFit="false"/>
      <protection locked="true" hidden="false"/>
    </xf>
    <xf numFmtId="170" fontId="58" fillId="0" borderId="0" xfId="0" applyFont="true" applyBorder="false" applyAlignment="false" applyProtection="false">
      <alignment horizontal="general" vertical="bottom" textRotation="0" wrapText="false" indent="0" shrinkToFit="false"/>
      <protection locked="true" hidden="false"/>
    </xf>
    <xf numFmtId="164" fontId="58" fillId="0" borderId="0" xfId="0" applyFont="true" applyBorder="false" applyAlignment="true" applyProtection="false">
      <alignment horizontal="general" vertical="bottom" textRotation="0" wrapText="true" indent="0" shrinkToFit="false"/>
      <protection locked="true" hidden="false"/>
    </xf>
    <xf numFmtId="164" fontId="60" fillId="0" borderId="0" xfId="0" applyFont="true" applyBorder="false" applyAlignment="true" applyProtection="false">
      <alignment horizontal="general" vertical="top" textRotation="0" wrapText="true" indent="0" shrinkToFit="false"/>
      <protection locked="true" hidden="false"/>
    </xf>
    <xf numFmtId="164" fontId="60" fillId="0" borderId="0" xfId="0" applyFont="true" applyBorder="false" applyAlignment="true" applyProtection="false">
      <alignment horizontal="left" vertical="center" textRotation="0" wrapText="true" indent="0" shrinkToFit="false"/>
      <protection locked="true" hidden="false"/>
    </xf>
    <xf numFmtId="164" fontId="60" fillId="0" borderId="0" xfId="0" applyFont="true" applyBorder="false" applyAlignment="true" applyProtection="false">
      <alignment horizontal="right" vertical="top" textRotation="0" wrapText="false" indent="2" shrinkToFit="false"/>
      <protection locked="true" hidden="false"/>
    </xf>
    <xf numFmtId="164" fontId="60" fillId="0" borderId="0" xfId="0" applyFont="true" applyBorder="false" applyAlignment="true" applyProtection="false">
      <alignment horizontal="general" vertical="top" textRotation="0" wrapText="true" indent="0" shrinkToFit="false"/>
      <protection locked="true" hidden="false"/>
    </xf>
    <xf numFmtId="170" fontId="58" fillId="0" borderId="0" xfId="0" applyFont="true" applyBorder="false" applyAlignment="false" applyProtection="false">
      <alignment horizontal="general" vertical="bottom" textRotation="0" wrapText="false" indent="0" shrinkToFit="false"/>
      <protection locked="true" hidden="false"/>
    </xf>
    <xf numFmtId="170" fontId="49" fillId="0" borderId="0" xfId="0" applyFont="true" applyBorder="false" applyAlignment="false" applyProtection="false">
      <alignment horizontal="general" vertical="bottom" textRotation="0" wrapText="false" indent="0" shrinkToFit="false"/>
      <protection locked="true" hidden="false"/>
    </xf>
    <xf numFmtId="164" fontId="58" fillId="0" borderId="0" xfId="0" applyFont="true" applyBorder="false" applyAlignment="true" applyProtection="false">
      <alignment horizontal="left" vertical="top" textRotation="0" wrapText="true" indent="0" shrinkToFit="false"/>
      <protection locked="true" hidden="false"/>
    </xf>
    <xf numFmtId="170" fontId="49" fillId="2" borderId="0" xfId="0" applyFont="true" applyBorder="false" applyAlignment="false" applyProtection="false">
      <alignment horizontal="general" vertical="bottom" textRotation="0" wrapText="false" indent="0" shrinkToFit="false"/>
      <protection locked="true" hidden="false"/>
    </xf>
    <xf numFmtId="166" fontId="51" fillId="0" borderId="23" xfId="15" applyFont="true" applyBorder="true" applyAlignment="true" applyProtection="true">
      <alignment horizontal="general" vertical="center" textRotation="0" wrapText="false" indent="0" shrinkToFit="false"/>
      <protection locked="true" hidden="false"/>
    </xf>
    <xf numFmtId="166" fontId="51" fillId="0" borderId="24" xfId="15" applyFont="true" applyBorder="true" applyAlignment="true" applyProtection="true">
      <alignment horizontal="general" vertical="center" textRotation="0" wrapText="false" indent="0" shrinkToFit="false"/>
      <protection locked="true" hidden="false"/>
    </xf>
    <xf numFmtId="164" fontId="41" fillId="0" borderId="0" xfId="0" applyFont="true" applyBorder="false" applyAlignment="true" applyProtection="false">
      <alignment horizontal="general" vertical="top" textRotation="0" wrapText="false" indent="0" shrinkToFit="false"/>
      <protection locked="true" hidden="false"/>
    </xf>
    <xf numFmtId="164" fontId="41" fillId="0" borderId="0" xfId="0" applyFont="true" applyBorder="false" applyAlignment="true" applyProtection="false">
      <alignment horizontal="general" vertical="center" textRotation="0" wrapText="false" indent="0" shrinkToFit="false"/>
      <protection locked="true" hidden="false"/>
    </xf>
    <xf numFmtId="166" fontId="51" fillId="0" borderId="0" xfId="15" applyFont="true" applyBorder="true" applyAlignment="true" applyProtection="true">
      <alignment horizontal="general" vertical="center" textRotation="0" wrapText="false" indent="0" shrinkToFit="false"/>
      <protection locked="true" hidden="false"/>
    </xf>
    <xf numFmtId="164" fontId="52" fillId="0" borderId="0" xfId="0" applyFont="true" applyBorder="false" applyAlignment="false" applyProtection="false">
      <alignment horizontal="general" vertical="bottom" textRotation="0" wrapText="false" indent="0" shrinkToFit="false"/>
      <protection locked="true" hidden="false"/>
    </xf>
    <xf numFmtId="164" fontId="43" fillId="0" borderId="25" xfId="0" applyFont="true" applyBorder="true" applyAlignment="true" applyProtection="true">
      <alignment horizontal="general" vertical="center" textRotation="0" wrapText="false" indent="0" shrinkToFit="false"/>
      <protection locked="false" hidden="false"/>
    </xf>
    <xf numFmtId="166" fontId="61" fillId="0" borderId="0" xfId="15" applyFont="true" applyBorder="true" applyAlignment="true" applyProtection="true">
      <alignment horizontal="general" vertical="center" textRotation="0" wrapText="false" indent="0" shrinkToFit="false"/>
      <protection locked="false" hidden="false"/>
    </xf>
    <xf numFmtId="166" fontId="39" fillId="0" borderId="26" xfId="15" applyFont="true" applyBorder="true" applyAlignment="true" applyProtection="true">
      <alignment horizontal="general" vertical="bottom" textRotation="0" wrapText="false" indent="0" shrinkToFit="false"/>
      <protection locked="true" hidden="false"/>
    </xf>
    <xf numFmtId="166" fontId="39" fillId="0" borderId="28" xfId="15" applyFont="true" applyBorder="true" applyAlignment="true" applyProtection="true">
      <alignment horizontal="general" vertical="center" textRotation="0" wrapText="false" indent="0" shrinkToFit="false"/>
      <protection locked="false" hidden="false"/>
    </xf>
    <xf numFmtId="177" fontId="42" fillId="0" borderId="29" xfId="0" applyFont="true" applyBorder="true" applyAlignment="true" applyProtection="true">
      <alignment horizontal="center" vertical="center" textRotation="0" wrapText="false" indent="0" shrinkToFit="false"/>
      <protection locked="false" hidden="false"/>
    </xf>
    <xf numFmtId="166" fontId="39" fillId="0" borderId="0" xfId="15" applyFont="true" applyBorder="true" applyAlignment="true" applyProtection="true">
      <alignment horizontal="general" vertical="center" textRotation="0" wrapText="false" indent="0" shrinkToFit="false"/>
      <protection locked="false" hidden="false"/>
    </xf>
    <xf numFmtId="164" fontId="51" fillId="0" borderId="0" xfId="0" applyFont="true" applyBorder="false" applyAlignment="true" applyProtection="true">
      <alignment horizontal="general" vertical="center" textRotation="0" wrapText="false" indent="0" shrinkToFit="false"/>
      <protection locked="false" hidden="false"/>
    </xf>
    <xf numFmtId="164" fontId="39" fillId="0" borderId="0" xfId="0" applyFont="true" applyBorder="false" applyAlignment="true" applyProtection="true">
      <alignment horizontal="general" vertical="center" textRotation="0" wrapText="false" indent="0" shrinkToFit="false"/>
      <protection locked="false" hidden="false"/>
    </xf>
    <xf numFmtId="164" fontId="39" fillId="0" borderId="0" xfId="0" applyFont="true" applyBorder="false" applyAlignment="true" applyProtection="true">
      <alignment horizontal="general" vertical="top" textRotation="0" wrapText="false" indent="0" shrinkToFit="false"/>
      <protection locked="false" hidden="false"/>
    </xf>
    <xf numFmtId="172" fontId="39" fillId="0" borderId="0" xfId="0" applyFont="true" applyBorder="false" applyAlignment="true" applyProtection="true">
      <alignment horizontal="general" vertical="center" textRotation="0" wrapText="false" indent="0" shrinkToFit="false"/>
      <protection locked="false" hidden="false"/>
    </xf>
    <xf numFmtId="164" fontId="47" fillId="0" borderId="0" xfId="0" applyFont="true" applyBorder="false" applyAlignment="false" applyProtection="false">
      <alignment horizontal="general" vertical="bottom" textRotation="0" wrapText="false" indent="0" shrinkToFit="false"/>
      <protection locked="true" hidden="false"/>
    </xf>
    <xf numFmtId="178" fontId="62" fillId="0" borderId="0" xfId="15" applyFont="true" applyBorder="true" applyAlignment="true" applyProtection="true">
      <alignment horizontal="general" vertical="bottom" textRotation="0" wrapText="false" indent="0" shrinkToFit="false"/>
      <protection locked="true" hidden="false"/>
    </xf>
    <xf numFmtId="164" fontId="63" fillId="4" borderId="0" xfId="0" applyFont="true" applyBorder="false" applyAlignment="false" applyProtection="false">
      <alignment horizontal="general" vertical="bottom" textRotation="0" wrapText="false" indent="0" shrinkToFit="false"/>
      <protection locked="true" hidden="false"/>
    </xf>
    <xf numFmtId="166" fontId="63" fillId="4" borderId="0" xfId="15" applyFont="true" applyBorder="true" applyAlignment="true" applyProtection="true">
      <alignment horizontal="left" vertical="bottom" textRotation="0" wrapText="false" indent="0" shrinkToFit="false"/>
      <protection locked="true" hidden="false"/>
    </xf>
    <xf numFmtId="166" fontId="64" fillId="16" borderId="17" xfId="15" applyFont="true" applyBorder="true" applyAlignment="true" applyProtection="true">
      <alignment horizontal="left" vertical="center" textRotation="0" wrapText="false" indent="0" shrinkToFit="false"/>
      <protection locked="true" hidden="false"/>
    </xf>
    <xf numFmtId="174" fontId="44" fillId="16" borderId="17" xfId="25" applyFont="true" applyBorder="true" applyAlignment="true" applyProtection="false">
      <alignment horizontal="left" vertical="center" textRotation="0" wrapText="false" indent="0" shrinkToFit="false"/>
      <protection locked="true" hidden="false"/>
    </xf>
    <xf numFmtId="164" fontId="44" fillId="16" borderId="17" xfId="25" applyFont="true" applyBorder="true" applyAlignment="true" applyProtection="false">
      <alignment horizontal="left" vertical="top" textRotation="0" wrapText="false" indent="0" shrinkToFit="false"/>
      <protection locked="true" hidden="false"/>
    </xf>
    <xf numFmtId="164" fontId="44" fillId="16" borderId="17" xfId="25" applyFont="true" applyBorder="true" applyAlignment="true" applyProtection="false">
      <alignment horizontal="left" vertical="center" textRotation="0" wrapText="false" indent="0" shrinkToFit="false"/>
      <protection locked="true" hidden="false"/>
    </xf>
    <xf numFmtId="170" fontId="44" fillId="16" borderId="17" xfId="25" applyFont="true" applyBorder="true" applyAlignment="true" applyProtection="false">
      <alignment horizontal="center" vertical="center" textRotation="0" wrapText="false" indent="0" shrinkToFit="false"/>
      <protection locked="true" hidden="false"/>
    </xf>
    <xf numFmtId="166" fontId="45" fillId="16" borderId="30" xfId="15" applyFont="true" applyBorder="true" applyAlignment="true" applyProtection="true">
      <alignment horizontal="center" vertical="center" textRotation="0" wrapText="false" indent="0" shrinkToFit="false"/>
      <protection locked="true" hidden="false"/>
    </xf>
    <xf numFmtId="166" fontId="64" fillId="16" borderId="1" xfId="15" applyFont="true" applyBorder="true" applyAlignment="true" applyProtection="true">
      <alignment horizontal="center" vertical="center" textRotation="0" wrapText="false" indent="0" shrinkToFit="false"/>
      <protection locked="true" hidden="false"/>
    </xf>
    <xf numFmtId="166" fontId="63" fillId="4" borderId="0" xfId="15" applyFont="true" applyBorder="true" applyAlignment="true" applyProtection="true">
      <alignment horizontal="left" vertical="top" textRotation="0" wrapText="false" indent="0" shrinkToFit="false"/>
      <protection locked="false" hidden="false"/>
    </xf>
    <xf numFmtId="164" fontId="39" fillId="0" borderId="0" xfId="26" applyFont="true" applyBorder="false" applyAlignment="true" applyProtection="false">
      <alignment horizontal="left" vertical="center" textRotation="0" wrapText="true" indent="0" shrinkToFit="false"/>
      <protection locked="true" hidden="false"/>
    </xf>
    <xf numFmtId="164" fontId="41" fillId="0" borderId="0" xfId="25" applyFont="true" applyBorder="false" applyAlignment="true" applyProtection="false">
      <alignment horizontal="left" vertical="center" textRotation="0" wrapText="false" indent="0" shrinkToFit="false"/>
      <protection locked="true" hidden="false"/>
    </xf>
    <xf numFmtId="174" fontId="47" fillId="0" borderId="31" xfId="25" applyFont="true" applyBorder="true" applyAlignment="true" applyProtection="false">
      <alignment horizontal="left" vertical="top" textRotation="0" wrapText="false" indent="0" shrinkToFit="false"/>
      <protection locked="true" hidden="false"/>
    </xf>
    <xf numFmtId="164" fontId="47" fillId="0" borderId="31" xfId="25" applyFont="true" applyBorder="true" applyAlignment="true" applyProtection="false">
      <alignment horizontal="left" vertical="center" textRotation="0" wrapText="false" indent="0" shrinkToFit="false"/>
      <protection locked="true" hidden="false"/>
    </xf>
    <xf numFmtId="170" fontId="47" fillId="0" borderId="31" xfId="25" applyFont="true" applyBorder="true" applyAlignment="true" applyProtection="false">
      <alignment horizontal="center" vertical="center" textRotation="0" wrapText="false" indent="0" shrinkToFit="false"/>
      <protection locked="true" hidden="false"/>
    </xf>
    <xf numFmtId="166" fontId="47" fillId="0" borderId="31" xfId="15" applyFont="true" applyBorder="true" applyAlignment="true" applyProtection="true">
      <alignment horizontal="center" vertical="center" textRotation="0" wrapText="false" indent="0" shrinkToFit="false"/>
      <protection locked="true" hidden="false"/>
    </xf>
    <xf numFmtId="166" fontId="40" fillId="0" borderId="31" xfId="15" applyFont="true" applyBorder="true" applyAlignment="true" applyProtection="true">
      <alignment horizontal="center" vertical="center" textRotation="0" wrapText="false" indent="0" shrinkToFit="false"/>
      <protection locked="true" hidden="false"/>
    </xf>
    <xf numFmtId="164" fontId="63" fillId="4" borderId="0" xfId="0" applyFont="true" applyBorder="false" applyAlignment="true" applyProtection="true">
      <alignment horizontal="general" vertical="center" textRotation="0" wrapText="false" indent="0" shrinkToFit="false"/>
      <protection locked="false" hidden="false"/>
    </xf>
    <xf numFmtId="164" fontId="40" fillId="23" borderId="0" xfId="0" applyFont="true" applyBorder="false" applyAlignment="true" applyProtection="true">
      <alignment horizontal="general" vertical="center" textRotation="0" wrapText="false" indent="0" shrinkToFit="false"/>
      <protection locked="false" hidden="false"/>
    </xf>
    <xf numFmtId="172" fontId="40" fillId="23" borderId="0" xfId="0" applyFont="true" applyBorder="false" applyAlignment="true" applyProtection="true">
      <alignment horizontal="general" vertical="center" textRotation="0" wrapText="false" indent="0" shrinkToFit="false"/>
      <protection locked="false" hidden="false"/>
    </xf>
    <xf numFmtId="166" fontId="40" fillId="23" borderId="0" xfId="15" applyFont="true" applyBorder="true" applyAlignment="true" applyProtection="true">
      <alignment horizontal="general" vertical="center" textRotation="0" wrapText="false" indent="0" shrinkToFit="false"/>
      <protection locked="false" hidden="false"/>
    </xf>
    <xf numFmtId="178" fontId="62" fillId="23" borderId="0" xfId="15" applyFont="true" applyBorder="true" applyAlignment="true" applyProtection="true">
      <alignment horizontal="general" vertical="bottom" textRotation="0" wrapText="false" indent="0" shrinkToFit="false"/>
      <protection locked="true" hidden="false"/>
    </xf>
    <xf numFmtId="174" fontId="47" fillId="0" borderId="32" xfId="25" applyFont="true" applyBorder="true" applyAlignment="true" applyProtection="false">
      <alignment horizontal="left" vertical="top" textRotation="0" wrapText="false" indent="0" shrinkToFit="false"/>
      <protection locked="true" hidden="false"/>
    </xf>
    <xf numFmtId="170" fontId="42" fillId="0" borderId="32" xfId="25" applyFont="true" applyBorder="true" applyAlignment="true" applyProtection="false">
      <alignment horizontal="center" vertical="center" textRotation="0" wrapText="false" indent="0" shrinkToFit="false"/>
      <protection locked="true" hidden="false"/>
    </xf>
    <xf numFmtId="170" fontId="42" fillId="0" borderId="32" xfId="26" applyFont="true" applyBorder="true" applyAlignment="true" applyProtection="false">
      <alignment horizontal="left" vertical="center" textRotation="0" wrapText="true" indent="0" shrinkToFit="false"/>
      <protection locked="true" hidden="false"/>
    </xf>
    <xf numFmtId="170" fontId="40" fillId="0" borderId="32" xfId="25" applyFont="true" applyBorder="true" applyAlignment="true" applyProtection="false">
      <alignment horizontal="center" vertical="center" textRotation="0" wrapText="false" indent="0" shrinkToFit="false"/>
      <protection locked="true" hidden="false"/>
    </xf>
    <xf numFmtId="166" fontId="40" fillId="0" borderId="32" xfId="15" applyFont="true" applyBorder="true" applyAlignment="true" applyProtection="true">
      <alignment horizontal="center" vertical="center" textRotation="0" wrapText="false" indent="0" shrinkToFit="false"/>
      <protection locked="true" hidden="false"/>
    </xf>
    <xf numFmtId="166" fontId="40" fillId="0" borderId="32" xfId="15" applyFont="true" applyBorder="true" applyAlignment="true" applyProtection="true">
      <alignment horizontal="general" vertical="bottom" textRotation="0" wrapText="false" indent="0" shrinkToFit="false"/>
      <protection locked="true" hidden="false"/>
    </xf>
    <xf numFmtId="164" fontId="47" fillId="0" borderId="32" xfId="25" applyFont="true" applyBorder="true" applyAlignment="true" applyProtection="false">
      <alignment horizontal="left" vertical="top" textRotation="0" wrapText="false" indent="0" shrinkToFit="false"/>
      <protection locked="true" hidden="false"/>
    </xf>
    <xf numFmtId="174" fontId="47" fillId="0" borderId="0" xfId="25" applyFont="true" applyBorder="false" applyAlignment="true" applyProtection="false">
      <alignment horizontal="left" vertical="top" textRotation="0" wrapText="false" indent="0" shrinkToFit="false"/>
      <protection locked="true" hidden="false"/>
    </xf>
    <xf numFmtId="164" fontId="47" fillId="0" borderId="0" xfId="25" applyFont="true" applyBorder="false" applyAlignment="true" applyProtection="false">
      <alignment horizontal="left" vertical="center" textRotation="0" wrapText="false" indent="0" shrinkToFit="false"/>
      <protection locked="true" hidden="false"/>
    </xf>
    <xf numFmtId="166" fontId="47" fillId="0" borderId="0" xfId="15" applyFont="true" applyBorder="true" applyAlignment="true" applyProtection="true">
      <alignment horizontal="center" vertical="center" textRotation="0" wrapText="false" indent="0" shrinkToFit="false"/>
      <protection locked="true" hidden="false"/>
    </xf>
    <xf numFmtId="174" fontId="44" fillId="2" borderId="33" xfId="25" applyFont="true" applyBorder="true" applyAlignment="true" applyProtection="false">
      <alignment horizontal="left" vertical="center" textRotation="0" wrapText="false" indent="0" shrinkToFit="false"/>
      <protection locked="true" hidden="false"/>
    </xf>
    <xf numFmtId="174" fontId="41" fillId="2" borderId="34" xfId="25" applyFont="true" applyBorder="true" applyAlignment="true" applyProtection="false">
      <alignment horizontal="left" vertical="center" textRotation="0" wrapText="false" indent="0" shrinkToFit="false"/>
      <protection locked="true" hidden="false"/>
    </xf>
    <xf numFmtId="164" fontId="41" fillId="2" borderId="34" xfId="25" applyFont="true" applyBorder="true" applyAlignment="true" applyProtection="false">
      <alignment horizontal="left" vertical="top" textRotation="0" wrapText="false" indent="0" shrinkToFit="false"/>
      <protection locked="true" hidden="false"/>
    </xf>
    <xf numFmtId="164" fontId="41" fillId="2" borderId="34" xfId="25" applyFont="true" applyBorder="true" applyAlignment="true" applyProtection="false">
      <alignment horizontal="left" vertical="center" textRotation="0" wrapText="false" indent="0" shrinkToFit="false"/>
      <protection locked="true" hidden="false"/>
    </xf>
    <xf numFmtId="170" fontId="41" fillId="2" borderId="34" xfId="25" applyFont="true" applyBorder="true" applyAlignment="true" applyProtection="false">
      <alignment horizontal="center" vertical="center" textRotation="0" wrapText="false" indent="0" shrinkToFit="false"/>
      <protection locked="true" hidden="false"/>
    </xf>
    <xf numFmtId="166" fontId="42" fillId="2" borderId="35" xfId="15" applyFont="true" applyBorder="true" applyAlignment="true" applyProtection="true">
      <alignment horizontal="center" vertical="center" textRotation="0" wrapText="false" indent="0" shrinkToFit="false"/>
      <protection locked="true" hidden="false"/>
    </xf>
    <xf numFmtId="166" fontId="64" fillId="2" borderId="1" xfId="15" applyFont="true" applyBorder="true" applyAlignment="true" applyProtection="true">
      <alignment horizontal="center" vertical="center" textRotation="0" wrapText="false" indent="0" shrinkToFit="false"/>
      <protection locked="true" hidden="false"/>
    </xf>
    <xf numFmtId="174" fontId="47" fillId="0" borderId="0" xfId="25" applyFont="true" applyBorder="false" applyAlignment="true" applyProtection="false">
      <alignment horizontal="left" vertical="center" textRotation="0" wrapText="false" indent="0" shrinkToFit="false"/>
      <protection locked="true" hidden="false"/>
    </xf>
    <xf numFmtId="164" fontId="41" fillId="0" borderId="0" xfId="25" applyFont="true" applyBorder="false" applyAlignment="true" applyProtection="false">
      <alignment horizontal="left" vertical="top" textRotation="0" wrapText="false" indent="0" shrinkToFit="false"/>
      <protection locked="true" hidden="false"/>
    </xf>
    <xf numFmtId="170" fontId="41" fillId="0" borderId="0" xfId="25" applyFont="true" applyBorder="false" applyAlignment="true" applyProtection="false">
      <alignment horizontal="center" vertical="center" textRotation="0" wrapText="false" indent="0" shrinkToFit="false"/>
      <protection locked="true" hidden="false"/>
    </xf>
    <xf numFmtId="174" fontId="47" fillId="0" borderId="17" xfId="25" applyFont="true" applyBorder="true" applyAlignment="true" applyProtection="false">
      <alignment horizontal="left" vertical="center" textRotation="0" wrapText="false" indent="0" shrinkToFit="false"/>
      <protection locked="true" hidden="false"/>
    </xf>
    <xf numFmtId="174" fontId="41" fillId="0" borderId="17" xfId="25" applyFont="true" applyBorder="true" applyAlignment="true" applyProtection="false">
      <alignment horizontal="left" vertical="center" textRotation="0" wrapText="false" indent="0" shrinkToFit="false"/>
      <protection locked="true" hidden="false"/>
    </xf>
    <xf numFmtId="164" fontId="41" fillId="0" borderId="17" xfId="25" applyFont="true" applyBorder="true" applyAlignment="true" applyProtection="false">
      <alignment horizontal="left" vertical="top" textRotation="0" wrapText="false" indent="0" shrinkToFit="false"/>
      <protection locked="true" hidden="false"/>
    </xf>
    <xf numFmtId="164" fontId="41" fillId="0" borderId="17" xfId="25" applyFont="true" applyBorder="true" applyAlignment="true" applyProtection="false">
      <alignment horizontal="left" vertical="center" textRotation="0" wrapText="false" indent="0" shrinkToFit="false"/>
      <protection locked="true" hidden="false"/>
    </xf>
    <xf numFmtId="170" fontId="41" fillId="0" borderId="17" xfId="25" applyFont="true" applyBorder="true" applyAlignment="true" applyProtection="false">
      <alignment horizontal="center" vertical="center" textRotation="0" wrapText="false" indent="0" shrinkToFit="false"/>
      <protection locked="true" hidden="false"/>
    </xf>
    <xf numFmtId="166" fontId="42" fillId="0" borderId="17" xfId="15" applyFont="true" applyBorder="true" applyAlignment="true" applyProtection="true">
      <alignment horizontal="center" vertical="center" textRotation="0" wrapText="false" indent="0" shrinkToFit="false"/>
      <protection locked="true" hidden="false"/>
    </xf>
    <xf numFmtId="179" fontId="48" fillId="0" borderId="1" xfId="15" applyFont="true" applyBorder="true" applyAlignment="true" applyProtection="true">
      <alignment horizontal="center" vertical="center" textRotation="0" wrapText="false" indent="0" shrinkToFit="false"/>
      <protection locked="true" hidden="false"/>
    </xf>
    <xf numFmtId="164" fontId="40" fillId="0" borderId="0" xfId="25" applyFont="true" applyBorder="false" applyAlignment="true" applyProtection="false">
      <alignment horizontal="left" vertical="top" textRotation="0" wrapText="false" indent="0" shrinkToFit="false"/>
      <protection locked="true" hidden="false"/>
    </xf>
    <xf numFmtId="180" fontId="42" fillId="0" borderId="0" xfId="0" applyFont="true" applyBorder="false" applyAlignment="true" applyProtection="true">
      <alignment horizontal="general" vertical="center" textRotation="0" wrapText="false" indent="0" shrinkToFit="false"/>
      <protection locked="false" hidden="false"/>
    </xf>
    <xf numFmtId="164" fontId="41" fillId="3" borderId="17" xfId="25" applyFont="true" applyBorder="true" applyAlignment="true" applyProtection="false">
      <alignment horizontal="left" vertical="top" textRotation="0" wrapText="false" indent="0" shrinkToFit="false"/>
      <protection locked="true" hidden="false"/>
    </xf>
    <xf numFmtId="164" fontId="41" fillId="3" borderId="17" xfId="25" applyFont="true" applyBorder="true" applyAlignment="true" applyProtection="false">
      <alignment horizontal="left" vertical="center" textRotation="0" wrapText="false" indent="0" shrinkToFit="false"/>
      <protection locked="true" hidden="false"/>
    </xf>
    <xf numFmtId="170" fontId="41" fillId="3" borderId="17" xfId="25" applyFont="true" applyBorder="true" applyAlignment="true" applyProtection="false">
      <alignment horizontal="center" vertical="center" textRotation="0" wrapText="false" indent="0" shrinkToFit="false"/>
      <protection locked="true" hidden="false"/>
    </xf>
    <xf numFmtId="166" fontId="42" fillId="3" borderId="17" xfId="15" applyFont="true" applyBorder="true" applyAlignment="true" applyProtection="true">
      <alignment horizontal="center" vertical="center" textRotation="0" wrapText="false" indent="0" shrinkToFit="false"/>
      <protection locked="true" hidden="false"/>
    </xf>
    <xf numFmtId="164" fontId="47" fillId="0" borderId="0" xfId="25" applyFont="true" applyBorder="false" applyAlignment="true" applyProtection="false">
      <alignment horizontal="left" vertical="top" textRotation="0" wrapText="false" indent="0" shrinkToFit="false"/>
      <protection locked="true" hidden="false"/>
    </xf>
    <xf numFmtId="174" fontId="65" fillId="0" borderId="0" xfId="25" applyFont="true" applyBorder="false" applyAlignment="true" applyProtection="false">
      <alignment horizontal="left" vertical="center" textRotation="0" wrapText="false" indent="0" shrinkToFit="false"/>
      <protection locked="true" hidden="false"/>
    </xf>
    <xf numFmtId="164" fontId="41" fillId="0" borderId="0" xfId="25" applyFont="true" applyBorder="false" applyAlignment="true" applyProtection="false">
      <alignment horizontal="left" vertical="center" textRotation="0" wrapText="false" indent="0" shrinkToFit="false"/>
      <protection locked="true" hidden="false"/>
    </xf>
    <xf numFmtId="178" fontId="64" fillId="2" borderId="1" xfId="15" applyFont="true" applyBorder="true" applyAlignment="true" applyProtection="true">
      <alignment horizontal="center" vertical="center" textRotation="0" wrapText="false" indent="0" shrinkToFit="false"/>
      <protection locked="true" hidden="false"/>
    </xf>
    <xf numFmtId="164" fontId="55" fillId="0" borderId="0" xfId="0" applyFont="true" applyBorder="false" applyAlignment="false" applyProtection="false">
      <alignment horizontal="general" vertical="bottom" textRotation="0" wrapText="false" indent="0" shrinkToFit="false"/>
      <protection locked="true" hidden="false"/>
    </xf>
    <xf numFmtId="164" fontId="55" fillId="0" borderId="0" xfId="0" applyFont="true" applyBorder="false" applyAlignment="true" applyProtection="false">
      <alignment horizontal="general" vertical="top" textRotation="0" wrapText="false" indent="0" shrinkToFit="false"/>
      <protection locked="true" hidden="false"/>
    </xf>
  </cellXfs>
  <cellStyles count="15">
    <cellStyle name="Normal" xfId="0" builtinId="0"/>
    <cellStyle name="Comma" xfId="15" builtinId="3"/>
    <cellStyle name="Comma [0]" xfId="16" builtinId="6"/>
    <cellStyle name="Currency" xfId="17" builtinId="4"/>
    <cellStyle name="Currency [0]" xfId="18" builtinId="7"/>
    <cellStyle name="Percent" xfId="19" builtinId="5"/>
    <cellStyle name="Millares 2" xfId="21"/>
    <cellStyle name="Millares 3" xfId="22"/>
    <cellStyle name="Millares 3 2" xfId="23"/>
    <cellStyle name="Moneda 2" xfId="24"/>
    <cellStyle name="Normal 4" xfId="25"/>
    <cellStyle name="Normal 4 2" xfId="26"/>
    <cellStyle name="Porcentaje 2" xfId="27"/>
    <cellStyle name="Excel Built-in Comma 1" xfId="28"/>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ACEBB"/>
      <rgbColor rgb="FF808080"/>
      <rgbColor rgb="FFA9D18E"/>
      <rgbColor rgb="FF993366"/>
      <rgbColor rgb="FFFFF2CC"/>
      <rgbColor rgb="FFDEEBF7"/>
      <rgbColor rgb="FF660066"/>
      <rgbColor rgb="FFEDEDED"/>
      <rgbColor rgb="FF0563C1"/>
      <rgbColor rgb="FFBDD7EE"/>
      <rgbColor rgb="FF000080"/>
      <rgbColor rgb="FFFF00FF"/>
      <rgbColor rgb="FFFBE5D6"/>
      <rgbColor rgb="FF00FFFF"/>
      <rgbColor rgb="FF800080"/>
      <rgbColor rgb="FF800000"/>
      <rgbColor rgb="FF008080"/>
      <rgbColor rgb="FF0000FF"/>
      <rgbColor rgb="FF00B0F0"/>
      <rgbColor rgb="FFDAE3F3"/>
      <rgbColor rgb="FFE2F0D9"/>
      <rgbColor rgb="FFFFE699"/>
      <rgbColor rgb="FFB4C7E7"/>
      <rgbColor rgb="FFD9D9D9"/>
      <rgbColor rgb="FFC1D3C2"/>
      <rgbColor rgb="FFF4B183"/>
      <rgbColor rgb="FF3366FF"/>
      <rgbColor rgb="FFF2F2F2"/>
      <rgbColor rgb="FF92D050"/>
      <rgbColor rgb="FFC5E0B4"/>
      <rgbColor rgb="FFBF9000"/>
      <rgbColor rgb="FFC55A11"/>
      <rgbColor rgb="FF666699"/>
      <rgbColor rgb="FF70AD47"/>
      <rgbColor rgb="FF003366"/>
      <rgbColor rgb="FF00B050"/>
      <rgbColor rgb="FF003300"/>
      <rgbColor rgb="FF222834"/>
      <rgbColor rgb="FF993300"/>
      <rgbColor rgb="FF993366"/>
      <rgbColor rgb="FF333399"/>
      <rgbColor rgb="FF31374A"/>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sharedStrings" Target="sharedStrings.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externalLink" Target="externalLinks/externalLink1.xml"/><Relationship Id="rId2" Type="http://schemas.openxmlformats.org/officeDocument/2006/relationships/styles" Target="styles.xml"/><Relationship Id="rId16" Type="http://schemas.openxmlformats.org/officeDocument/2006/relationships/customXml" Target="../customXml/item3.xml"/><Relationship Id="rId1" Type="http://schemas.openxmlformats.org/officeDocument/2006/relationships/theme" Target="theme/theme1.xml"/><Relationship Id="rId6" Type="http://schemas.openxmlformats.org/officeDocument/2006/relationships/worksheet" Target="worksheets/sheet4.xml"/><Relationship Id="rId11" Type="http://schemas.openxmlformats.org/officeDocument/2006/relationships/worksheet" Target="worksheets/sheet9.xml"/><Relationship Id="rId5" Type="http://schemas.openxmlformats.org/officeDocument/2006/relationships/worksheet" Target="worksheets/sheet3.xml"/><Relationship Id="rId15" Type="http://schemas.openxmlformats.org/officeDocument/2006/relationships/customXml" Target="../customXml/item2.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1.xml"/></Relationships>
</file>

<file path=xl/externalLinks/_rels/externalLink1.xml.rels><?xml version="1.0" encoding="UTF-8"?>
<Relationships xmlns="http://schemas.openxmlformats.org/package/2006/relationships"><Relationship Id="rId1" Type="http://schemas.openxmlformats.org/officeDocument/2006/relationships/externalLinkPath" Target="../../ED1920625%2001%20EXE/01%20TCQ/NINE%20de%20matar&#243;-executiu-pressupost.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BASEdades"/>
      <sheetName val="PORTADA_PTO"/>
      <sheetName val="PATI"/>
      <sheetName val="UMBRACLE"/>
      <sheetName val="ACCÉS"/>
      <sheetName val="QUADRE PREUS 1"/>
      <sheetName val="PREUS"/>
      <sheetName val="RESUM PARTIDES"/>
      <sheetName val="industrials"/>
    </sheetNames>
    <sheetDataSet>
      <sheetData sheetId="0">
        <row r="3">
          <cell r="A3" t="str">
            <v>CODI  BASE DADES</v>
          </cell>
          <cell r="B3" t="str">
            <v>TÍTOL PARTIDA</v>
          </cell>
          <cell r="C3" t="str">
            <v>UT</v>
          </cell>
          <cell r="D3" t="str">
            <v>DESCRIPCIÓ PARTIDA</v>
          </cell>
          <cell r="E3" t="str">
            <v>mides</v>
          </cell>
          <cell r="F3" t="str">
            <v>CODI REFERÈNCIA</v>
          </cell>
          <cell r="G3" t="str">
            <v>PREU           sense IVA</v>
          </cell>
        </row>
        <row r="5">
          <cell r="A5" t="str">
            <v>pou drenatge</v>
          </cell>
          <cell r="B5" t="str">
            <v>Pou de drenatge</v>
          </cell>
          <cell r="C5" t="str">
            <v>ut</v>
          </cell>
          <cell r="D5" t="str">
            <v>Formació de pou de drenatge per inflitració de l'aigua superficial al terreny de terra d'argila semidura i reblert amb graves de diàmetre 50mm als primers 70cm i una capa superficial d'ull de perdiu. Inclou p/p de replanteig, excavació manual del terreny de terra d'argila semidura, selecció, replé i compactació del terreny  contigu i eliminació i neteja del material sobrant.</v>
          </cell>
          <cell r="E5" t="str">
            <v>.mides: 100x100x100cm</v>
          </cell>
          <cell r="F5" t="str">
            <v>.</v>
          </cell>
          <cell r="G5">
            <v>270</v>
          </cell>
        </row>
        <row r="6">
          <cell r="A6" t="str">
            <v>pou drenatge 3</v>
          </cell>
          <cell r="B6" t="str">
            <v>Pou de drenatge</v>
          </cell>
          <cell r="C6" t="str">
            <v>ut</v>
          </cell>
          <cell r="D6" t="str">
            <v>Formació de pou de drenatge per inflitració de l'aigua superficial al terreny de terra d'argila semidura i reblert amb graves de diàmetre 50mm als primers 70cm i una capa superficial d'ull de perdiu. Inclou p/p de replanteig, excavació manual del terreny de terra d'argila semidura, selecció, replé i compactació del terreny  contigu i eliminació i neteja del material sobrant.</v>
          </cell>
          <cell r="E6" t="str">
            <v>.mides: 300x300x100cm</v>
          </cell>
          <cell r="F6" t="str">
            <v>.</v>
          </cell>
          <cell r="G6">
            <v>1500</v>
          </cell>
        </row>
        <row r="7">
          <cell r="A7" t="str">
            <v>transport residus</v>
          </cell>
          <cell r="B7" t="str">
            <v>Transport residus</v>
          </cell>
          <cell r="C7" t="str">
            <v>m3</v>
          </cell>
          <cell r="D7" t="str">
            <v>Transport de residus inerts o no especials a instal·lació autorizada de gestió de residus, amb contenidor de qualsevol mida de capacitat, amb un recorregut complert fins a la instal·lació autoritzada de gestió del residu. Es considera un increment de 30% de l'amidament en concepte d'esponjament.</v>
          </cell>
          <cell r="E7" t="str">
            <v>.</v>
          </cell>
          <cell r="F7" t="str">
            <v>.</v>
          </cell>
          <cell r="G7">
            <v>18.54</v>
          </cell>
        </row>
        <row r="9">
          <cell r="A9" t="str">
            <v>deposició residus</v>
          </cell>
          <cell r="B9" t="str">
            <v>Deposició en dipòsit autoritzat</v>
          </cell>
          <cell r="C9" t="str">
            <v>m3</v>
          </cell>
          <cell r="D9" t="str">
            <v>Deposició controlada en dipòsit autoritzat inclòs el cànon sobre la deposició controlada dels residus de la construcció, segons la LLEI 8/2008, de residus barrejats no perillosos, procedents de construcció o demolició. Es considera un increment de 30% de l'amidament en concepte d'esponjament.</v>
          </cell>
          <cell r="E9" t="str">
            <v>.</v>
          </cell>
          <cell r="F9" t="str">
            <v>.</v>
          </cell>
          <cell r="G9">
            <v>20.64</v>
          </cell>
        </row>
        <row r="10">
          <cell r="A10" t="str">
            <v>DEMOLICIONS I TALLS</v>
          </cell>
        </row>
        <row r="11">
          <cell r="A11" t="str">
            <v>Tall de paviment</v>
          </cell>
          <cell r="B11" t="str">
            <v>Tall de paviment</v>
          </cell>
          <cell r="C11" t="str">
            <v>m</v>
          </cell>
          <cell r="D11" t="str">
            <v>Execució de tall en paviment de qualsevol tipus, de 10cm de fondària com a mínim, amb màquina tallajunts amb disc de diamant per a paviment, per a delimitar la zona a demolir, i càrrega manual sobre camió o contenidor</v>
          </cell>
          <cell r="E11" t="str">
            <v>.</v>
          </cell>
          <cell r="F11" t="str">
            <v>.</v>
          </cell>
          <cell r="G11">
            <v>5.7</v>
          </cell>
          <cell r="H11" t="str">
            <v>canvi descripcio</v>
          </cell>
          <cell r="I11" t="str">
            <v>5,02(10cm) 5,70(15cm) itec</v>
          </cell>
        </row>
        <row r="12">
          <cell r="A12" t="str">
            <v>demolició pista</v>
          </cell>
          <cell r="B12" t="str">
            <v>Demolició de paviment formigó</v>
          </cell>
          <cell r="C12" t="str">
            <v>m2</v>
          </cell>
          <cell r="D12" t="str">
            <v>Demolició de paviment exterior de formigó armat, mitjançant retroexcavadora amb martell picador. No inclou la demolició de la base suport. Càrrega manual o mecànica de runa sobre camió o contenedor</v>
          </cell>
          <cell r="E12" t="str">
            <v>.</v>
          </cell>
          <cell r="F12" t="str">
            <v>.</v>
          </cell>
          <cell r="G12">
            <v>15</v>
          </cell>
        </row>
        <row r="13">
          <cell r="A13" t="str">
            <v>demolició solera formigó</v>
          </cell>
          <cell r="B13" t="str">
            <v>Demolició de solera de formigó</v>
          </cell>
          <cell r="C13" t="str">
            <v>m2</v>
          </cell>
          <cell r="D13" t="str">
            <v>Demolició de solera de formigó en massa de fins a 15cm, mitjançant retroexcavadora amb martell picador. El preu inclou el picat i estesa del material per ser utilitzat com a grava de drenatge.</v>
          </cell>
          <cell r="E13" t="str">
            <v>.</v>
          </cell>
          <cell r="F13" t="str">
            <v>.</v>
          </cell>
          <cell r="G13">
            <v>15</v>
          </cell>
        </row>
        <row r="14">
          <cell r="A14" t="str">
            <v>demolició base asfalt</v>
          </cell>
          <cell r="B14" t="str">
            <v>Demolició de paviment d'aglomerat asfàltic</v>
          </cell>
          <cell r="C14" t="str">
            <v>m2</v>
          </cell>
          <cell r="D14" t="str">
            <v>Demolició de paviment d'aglomerat asfàltic amb martell pneumàtic, i càrrega manual sobre camió o contenidor. Tall previ del contorn de zona a demolir. Demolició de l'element. Fragmentació dels enderrocs en peces manejables. Retirada i arreplegat d'enderrocs. Neteja de les restes de l'obra. Càrrega manual d'enderrocs sobre camió o contenidor. No inclou tall ni enderroc de solera de formigó.</v>
          </cell>
          <cell r="E14" t="str">
            <v>.</v>
          </cell>
          <cell r="F14" t="str">
            <v>.</v>
          </cell>
          <cell r="G14">
            <v>11.45</v>
          </cell>
          <cell r="H14" t="str">
            <v>INCLOU TALL i base de forimgó?</v>
          </cell>
          <cell r="I14" t="str">
            <v>11,45€ generdador de preus CYPE</v>
          </cell>
        </row>
        <row r="14">
          <cell r="L14" t="str">
            <v>Demolició de paviment d'aglomerat asfàltic de 15 cm de gruix mitjà, amb martell pneumàtic, i càrrega manual sobre camió o contenidor.</v>
          </cell>
        </row>
        <row r="15">
          <cell r="A15" t="str">
            <v>demolició paviment de rajoles cautxú</v>
          </cell>
          <cell r="B15" t="str">
            <v>Demolició de paviment exterior de rajoles de cautxú </v>
          </cell>
          <cell r="C15" t="str">
            <v>m2</v>
          </cell>
          <cell r="D15" t="str">
            <v>Demolició de paviment exterior de rajoles de cautxú, amb mitjans manuals, i càrrega manual sobre camió o contenidor. El preu no inclou la demolició de la base suport.</v>
          </cell>
          <cell r="E15" t="str">
            <v>.</v>
          </cell>
          <cell r="F15" t="str">
            <v>.</v>
          </cell>
          <cell r="G15">
            <v>10.88</v>
          </cell>
        </row>
        <row r="16">
          <cell r="A16" t="str">
            <v>demolició paviment continu de cautxú</v>
          </cell>
          <cell r="B16" t="str">
            <v>Demolició de paviment exterior continu de cautxú </v>
          </cell>
          <cell r="C16" t="str">
            <v>m2</v>
          </cell>
          <cell r="D16" t="str">
            <v>Arrencada i demolició de paviment exterior continu de cautxú, amb mitjans manuals, i càrrega manual sobre camió o contenidor. El preu no inclou la demolició de la base suport.</v>
          </cell>
          <cell r="E16" t="str">
            <v>.</v>
          </cell>
          <cell r="F16" t="str">
            <v>.</v>
          </cell>
          <cell r="G16">
            <v>10.88</v>
          </cell>
          <cell r="H16" t="str">
            <v>generdador de preus CYPE</v>
          </cell>
        </row>
        <row r="17">
          <cell r="A17" t="str">
            <v>demolició vorada</v>
          </cell>
          <cell r="B17" t="str">
            <v>Demolició de graó de formigó</v>
          </cell>
          <cell r="C17" t="str">
            <v>m</v>
          </cell>
          <cell r="D17" t="str">
            <v>Demolició de graó de formigó, inclús la seva base, amb compressor i càrrega manual i mecànica de runa sobre camió o conenidor. Inclou l'enderroc d'estesa i alçada de graó de les mides existents.</v>
          </cell>
          <cell r="E17" t="str">
            <v>.mides 15x25x100cm</v>
          </cell>
        </row>
        <row r="17">
          <cell r="G17">
            <v>7.62</v>
          </cell>
          <cell r="H17" t="str">
            <v>preu del catalunya</v>
          </cell>
        </row>
        <row r="18">
          <cell r="A18" t="str">
            <v>demolició bloc de formigó</v>
          </cell>
          <cell r="B18" t="str">
            <v>Demolició de mur de bloc de formigó </v>
          </cell>
          <cell r="C18" t="str">
            <v>m2</v>
          </cell>
          <cell r="D18" t="str">
            <v>Demolició de fàbrica vista, formada per bloc de formigó de 20 cm d'espessor, amb mitjans manuals, sense afectar a l'estabilitat dels elements constructius contigus, i càrrega manual sobre camió o contenidor.</v>
          </cell>
          <cell r="E18" t="str">
            <v>.</v>
          </cell>
        </row>
        <row r="18">
          <cell r="G18">
            <v>12.3</v>
          </cell>
          <cell r="H18" t="str">
            <v>preu del catalunya</v>
          </cell>
        </row>
        <row r="19">
          <cell r="A19" t="str">
            <v>demolició mur de formigó armat</v>
          </cell>
          <cell r="B19" t="str">
            <v>Demolició de mur de formigó armat</v>
          </cell>
          <cell r="C19" t="str">
            <v>m2</v>
          </cell>
          <cell r="D19" t="str">
            <v>Demolició de mur de formigó armat, amb mitjans manuals, martell pneumàtic i equip de oxitall, i càrrega manual sobre camió o contenidor.</v>
          </cell>
          <cell r="E19" t="str">
            <v>.</v>
          </cell>
        </row>
        <row r="19">
          <cell r="G19">
            <v>235.15</v>
          </cell>
          <cell r="H19" t="str">
            <v>preu del catalunya</v>
          </cell>
        </row>
        <row r="20">
          <cell r="A20" t="str">
            <v>tall de mur de formigó armat</v>
          </cell>
          <cell r="B20" t="str">
            <v>Tall de mur de formigó armat</v>
          </cell>
          <cell r="C20" t="str">
            <v>m</v>
          </cell>
          <cell r="D20" t="str">
            <v>Tall en humit de llosa massissa de formigó armat, amb serra amb disc diamantat,  i càrrega manual sobre camió o contenidor.
</v>
          </cell>
          <cell r="E20" t="str">
            <v>.</v>
          </cell>
        </row>
        <row r="20">
          <cell r="G20">
            <v>102</v>
          </cell>
        </row>
        <row r="21">
          <cell r="A21" t="str">
            <v>demolició sabata formigó armat</v>
          </cell>
          <cell r="B21" t="str">
            <v>Demolició de fonamentació de formigó</v>
          </cell>
          <cell r="C21" t="str">
            <v>m3</v>
          </cell>
          <cell r="D21" t="str">
            <v>Demolició de fonamentació de formigó en massa, per a elements de mobiliari urbà, amb mitjans manuals, martell pneumàtic i càrrega manual sobre camió o contenidor.
</v>
          </cell>
          <cell r="E21" t="str">
            <v>.</v>
          </cell>
        </row>
        <row r="21">
          <cell r="G21">
            <v>243.76</v>
          </cell>
        </row>
        <row r="21">
          <cell r="I21">
            <v>43.72</v>
          </cell>
          <cell r="J21" t="str">
            <v>preu generador preus</v>
          </cell>
        </row>
        <row r="22">
          <cell r="A22" t="str">
            <v>REBAIX TERRENY</v>
          </cell>
        </row>
        <row r="23">
          <cell r="A23" t="str">
            <v>rebaix de terreny</v>
          </cell>
          <cell r="B23" t="str">
            <v>Rebaix de terreny</v>
          </cell>
          <cell r="C23" t="str">
            <v>m3</v>
          </cell>
          <cell r="D23" t="str">
            <v>Excavació a cel obert, en terra d'argila semidura, amb mitjans mecànics i càrrega a camió. El preu no inclou el transport dels materials excavats.</v>
          </cell>
          <cell r="E23" t="str">
            <v>.</v>
          </cell>
          <cell r="F23" t="str">
            <v>.</v>
          </cell>
          <cell r="G23">
            <v>49</v>
          </cell>
        </row>
        <row r="24">
          <cell r="A24" t="str">
            <v>rebaix fonaments i pous</v>
          </cell>
          <cell r="B24" t="str">
            <v>Rebaix per a fonaments i pous</v>
          </cell>
          <cell r="C24" t="str">
            <v>m3</v>
          </cell>
          <cell r="D24" t="str">
            <v>Excavació a cel obert, en terra d'argila semidura, amb mitjans mecànics i càrrega a camió. El preu no inclou el transport dels materials excavats. Excavació de rases per a fonaments o pous, en terreny existent, amb mitjans mecànics adients, i càrrega sobre camió o contenidor. </v>
          </cell>
          <cell r="E24" t="str">
            <v>.</v>
          </cell>
          <cell r="F24" t="str">
            <v>.</v>
          </cell>
          <cell r="G24">
            <v>33.63</v>
          </cell>
          <cell r="H24" t="str">
            <v>generador preus 33,63€</v>
          </cell>
        </row>
        <row r="25">
          <cell r="A25" t="str">
            <v>neteja terreny</v>
          </cell>
          <cell r="B25" t="str">
            <v>Esbrossada i neteja del terreny</v>
          </cell>
          <cell r="C25" t="str">
            <v>m2</v>
          </cell>
          <cell r="D25" t="str">
            <v>Esbrossada i neteja del terreny de topografia amb desnivells mínims, amb mitjans mecànics. Comprèn els treballs necessaris per retirar de les zones previstes per a l'edificació o urbanització: arbres, petites plantes, mala herba, brossa, fustes caigudes, runes, escombraries o qualsevol altre material existent: i càrrega a camió.</v>
          </cell>
          <cell r="E25" t="str">
            <v>.</v>
          </cell>
          <cell r="F25" t="str">
            <v>.</v>
          </cell>
          <cell r="G25">
            <v>1.21</v>
          </cell>
        </row>
        <row r="26">
          <cell r="A26" t="str">
            <v>PALETERIA I SABATES</v>
          </cell>
        </row>
        <row r="27">
          <cell r="A27" t="str">
            <v>sabata formigó</v>
          </cell>
          <cell r="B27" t="str">
            <v>Sabata de formigó de 50x50x50</v>
          </cell>
          <cell r="C27" t="str">
            <v>ut</v>
          </cell>
          <cell r="D27" t="str">
            <v>Formació de sabata de 50x50x50 de formigó HM-20/B/20/X0 fabricat in situ. Inclou excavació en terra d'argila semidura amb mitjans mecànics.</v>
          </cell>
          <cell r="E27" t="str">
            <v>.</v>
          </cell>
          <cell r="F27" t="str">
            <v>.</v>
          </cell>
          <cell r="G27">
            <v>289</v>
          </cell>
        </row>
        <row r="28">
          <cell r="A28" t="str">
            <v>fonament formigó</v>
          </cell>
          <cell r="B28" t="str">
            <v>Fonament de formigó HA-25</v>
          </cell>
          <cell r="C28" t="str">
            <v>m3</v>
          </cell>
          <cell r="D28" t="str">
            <v>Fonament de formigÃ³ armat HA-25/B/20/IIa abocat des de camiÃ³ o qualsevol altre mitjÃ  alternatiu, amb armadura de fonament i esperes de murs que arrenquen del fonament amb barres tipus AP500 S de lÃ­mit elÃ stic &gt; = 500 N / mm2 d'acer en barres corrugades, amb una quantia de fins a 45 kg/mÂ³ (comprovada i validada per el contractista) i encofrat si Ã©s necessari per la tipologia del terreny amb tauler de fusta o qualsevol altre sistema. S'inclouen tots els elements necessaris per a la realització del fonament: formigó, acer, encofrat, perforacions, connectors i qualsevol altre element o treball auxiliar necessari per a la seva execució.   </v>
          </cell>
          <cell r="E28" t="str">
            <v>.</v>
          </cell>
          <cell r="F28" t="str">
            <v>.</v>
          </cell>
          <cell r="G28">
            <v>265</v>
          </cell>
        </row>
        <row r="29">
          <cell r="A29" t="str">
            <v>mostreig</v>
          </cell>
          <cell r="B29" t="str">
            <v>Mostreig</v>
          </cell>
          <cell r="C29" t="str">
            <v>ut</v>
          </cell>
          <cell r="D29" t="str">
            <v>Mostreig, realització de con d'Abrams, elaboració de les provetes, cura, recapçament i assaig a compressió d'una sèrie de cinc provetes cilíndriques de 15x30 cm, segons la norma UNE-EN 12390-1, UNE-EN 12390-2, UNE-EN 12390-3, UNE-EN 12350-1 i UNE-EN 12350-2</v>
          </cell>
          <cell r="E29" t="str">
            <v>.</v>
          </cell>
          <cell r="F29" t="str">
            <v>.</v>
          </cell>
          <cell r="G29">
            <v>135.39</v>
          </cell>
        </row>
        <row r="30">
          <cell r="A30" t="str">
            <v>paleteria</v>
          </cell>
          <cell r="B30" t="str">
            <v>Ajudes de paleta</v>
          </cell>
          <cell r="C30" t="str">
            <v>h</v>
          </cell>
          <cell r="D30" t="str">
            <v>Jornada d'ajudes de paleta. Oficial i peò.</v>
          </cell>
          <cell r="E30" t="str">
            <v>.</v>
          </cell>
          <cell r="F30" t="str">
            <v>.</v>
          </cell>
          <cell r="G30">
            <v>42</v>
          </cell>
        </row>
        <row r="31">
          <cell r="A31" t="str">
            <v>vorada prefabricada</v>
          </cell>
          <cell r="B31" t="str">
            <v>Vorada prefabricada de formigó</v>
          </cell>
          <cell r="C31" t="str">
            <v>m</v>
          </cell>
          <cell r="D31" t="str">
            <v>Subministrament i col.locació de vorada - Recta - MC - A1 (20x14) - B- H - S(R-3,5) - UNE-EN 1340, col·locat sobre base de formigó en massa (HM-20/P/20/X0) de 20 cm d'espessor i rejuntat amb morter de ciment, industrial, M-5.</v>
          </cell>
          <cell r="E31" t="str">
            <v>.Mides de la peça: 20x14x50cm</v>
          </cell>
          <cell r="F31" t="str">
            <v>.</v>
          </cell>
          <cell r="G31">
            <v>34.49</v>
          </cell>
        </row>
        <row r="32">
          <cell r="A32" t="str">
            <v>mur pedra</v>
          </cell>
          <cell r="B32" t="str">
            <v>Mur de pedra</v>
          </cell>
          <cell r="C32" t="str">
            <v>m3</v>
          </cell>
          <cell r="D32" t="str">
            <v>Execució de mur de maçoneria ordinària a dues cares vistes, amb pedres de maçoneria irregulars en bast, de pedra calcària, amb les seves cares sense obrar, col·locats amb morter de calç industrial, color Natural, M-15, subministrat en sacs i rebliment dels junts amb morter fi, en murs d'espessor variable, fins a 50 cm.</v>
          </cell>
          <cell r="E32" t="str">
            <v>.</v>
          </cell>
          <cell r="F32" t="str">
            <v>.</v>
          </cell>
          <cell r="G32">
            <v>791.4</v>
          </cell>
        </row>
        <row r="33">
          <cell r="A33" t="str">
            <v>mur obra</v>
          </cell>
          <cell r="B33" t="str">
            <v>Mur d'obra</v>
          </cell>
          <cell r="C33" t="str">
            <v>m2</v>
          </cell>
          <cell r="D33" t="str">
            <v>Execució de mur continu, altura variada, de fàbrica de maó ceràmic buit (H-16), per revestir, 24x19x14 cm, amb junts horitzontals i verticals de 10 mm d'espessor, rebuda amb morter de ciment industrial, color gris, M-5, subministrat a granel. El preu no inclou el revestiment.
</v>
          </cell>
          <cell r="E33" t="str">
            <v>.</v>
          </cell>
          <cell r="F33" t="str">
            <v>.</v>
          </cell>
          <cell r="G33">
            <v>33.22</v>
          </cell>
        </row>
        <row r="34">
          <cell r="A34" t="str">
            <v>mur formigó armat</v>
          </cell>
          <cell r="B34" t="str">
            <v>Mur de formigó armat</v>
          </cell>
          <cell r="C34" t="str">
            <v>m3</v>
          </cell>
          <cell r="D34" t="str">
            <v>Mur de formigó armat 2C, de fins a 3 m d'altura, gruix 30 cm, superfície plana, realitzat amb formigó HA-25/F/20/XC2 fabricat en central, i abocament amb cubilot, i acer UNE-EN 10080 B 500 S, amb una quantia aproximada de 50 kg/m³, executat en condicions complexes; muntatge i desmuntatge de sistema d'encofrat amb acabat vist amb textura llisa, realitzat amb tauler contraxapat fenòlic amb bastidor metàl·lic, amortitzable en 20 usos. Inclús filferro de lligar, separadors, passamurs per a pas dels tensors i líquid desencofrant, per evitar l'adherència del formigó a l'encofrat.
</v>
          </cell>
          <cell r="E34" t="str">
            <v>.Cada metre lineal es conta com a 1 metre quadrat mínim.</v>
          </cell>
          <cell r="F34" t="str">
            <v>.</v>
          </cell>
          <cell r="G34">
            <v>751.65</v>
          </cell>
          <cell r="H34" t="str">
            <v>generador de preus 501,1</v>
          </cell>
        </row>
        <row r="35">
          <cell r="A35" t="str">
            <v>mur bloc vist</v>
          </cell>
          <cell r="B35" t="str">
            <v>Mur de bloc cares vistes</v>
          </cell>
          <cell r="C35" t="str">
            <v>m2</v>
          </cell>
          <cell r="D35" t="str">
            <v>Muret de bloc de dues cares vistes, de 20 cm de gruix, de bloc de morter de ciment foradat, de 400x200x200 mm, de dues cares vistes, llis, gris, amb components hidrofugants, categoria I segons norma UNE-EN 771-3, col·locat amb morter de ciment pòrtland amb filler calcari, de dosificació 1:0,5:4 (10 N/mm2) massissat a les primeres filades soterrades y a tota alçada en un bloc sencer cada 120cm, amb formigó HA-25/P/20/I, col·locat manualment i armat amb acer en barres corrugades elaborat a l'obra B500S de límit elàstic &gt;= 500 N/mm2 per a l'armadura de parets de blocs de morter de ciment, 1Ø12 vertical a cada forat de bloc en les zones massissades i peça de remat en forma de ´´U´´ amb cercol de formigó armat amb 4Ø8 i estreps Ø6c/30 cm. Inclou peces especials d…</v>
          </cell>
          <cell r="E35" t="str">
            <v>.</v>
          </cell>
          <cell r="F35" t="str">
            <v>.</v>
          </cell>
          <cell r="G35">
            <v>77</v>
          </cell>
          <cell r="H35" t="str">
            <v>PREU CORAL</v>
          </cell>
        </row>
        <row r="36">
          <cell r="A36" t="str">
            <v>mur bloc</v>
          </cell>
          <cell r="B36" t="str">
            <v>Mur de bloc a una cara vista</v>
          </cell>
          <cell r="C36" t="str">
            <v>m2</v>
          </cell>
          <cell r="D36" t="str">
            <v>Mur de contenció de terres de 20 cm d'espessor de fàbrica, de bloc de formigó tipus "H", de càrrega, per anar vist, color gris, 50x20x20 cm, categoria I, resistència normalitzada R10 (10 N/mm²), amb els junts verticals encadellats en sec i els junts horitzontals amb morter de ciment industrial, color gris, M-7,5, subministrat a granel, amb blocs de cantonada, reforçat amb formigó de replè, HA-25/B/12/XC2, preparat en obra, abocament amb mitjans manuals, i armadura d'acer UNE-EN 10080 B 400 S, amb una quantia aproximada de 20 kg/m². Inclús tubs de PVC per drenatge i filferro de lligar.
</v>
          </cell>
          <cell r="E36" t="str">
            <v>.</v>
          </cell>
          <cell r="F36" t="str">
            <v>.</v>
          </cell>
          <cell r="G36">
            <v>77</v>
          </cell>
          <cell r="H36" t="str">
            <v>PREU CORAL</v>
          </cell>
        </row>
        <row r="37">
          <cell r="A37" t="str">
            <v>capa morter</v>
          </cell>
          <cell r="B37" t="str">
            <v>Capa de morter de ciments</v>
          </cell>
          <cell r="C37" t="str">
            <v>m2</v>
          </cell>
          <cell r="D37" t="str">
            <v>Capa de morter de ciment, tipus CR CSIV W2, segons UNE-EN 998-1, color blanc, de 10 mm d'espessor, reglejat, amb acabat remolinat, aplicat manualment, sobre parament exterior de fàbrica de maó o bloc de formigó, vertical. Inclús rivets de PVC, per a formació de juntes i malla de fibra de vidre antiàlcalis en els canvis de material i en els fronts de forjat, per evitar fissures. El preu inclou la protecció dels elements de l'entorn que puguin veure's afectats durant els treballs i la resolució de punts singulars.
</v>
          </cell>
          <cell r="E37" t="str">
            <v>.</v>
          </cell>
          <cell r="F37" t="str">
            <v>.</v>
          </cell>
          <cell r="G37">
            <v>32</v>
          </cell>
          <cell r="H37" t="str">
            <v>PREU CORAL</v>
          </cell>
        </row>
        <row r="38">
          <cell r="A38" t="str">
            <v>solera raspatllat</v>
          </cell>
          <cell r="B38" t="str">
            <v>Solera de formigó amb acabat raspatllat</v>
          </cell>
          <cell r="C38" t="str">
            <v>m2</v>
          </cell>
          <cell r="D38" t="str">
            <v>Paviment de formigó amb fibres de polipropilè monofilamentoses, amb aditiu, per a paviment continu i rampes, de 15 cm de gruix, tipus HAF-30/F/12/IIa+E, amb fibres sintètiques amb una quantia de 600 gr/m³, abocat des de camió o qualsevol altre mitjà alternatiu, mestrejat i acabat amb regle vibrat i posterior raspatllat per deixar la textura indicada per la DF. Inclou armadura interior tipus AP500SD amb malla electrosoldada ME 15x15 cm D:6-6 mm B500SD UNE-EN 10080</v>
          </cell>
          <cell r="E38" t="str">
            <v>.</v>
          </cell>
          <cell r="F38" t="str">
            <v>.</v>
          </cell>
          <cell r="G38">
            <v>35.12</v>
          </cell>
        </row>
        <row r="39">
          <cell r="A39" t="str">
            <v>graó</v>
          </cell>
          <cell r="B39" t="str">
            <v>Construcció graó</v>
          </cell>
          <cell r="C39" t="str">
            <v>m2</v>
          </cell>
          <cell r="D39" t="str">
            <v>Esglaó de 30x17 de mides aproximades, format per peça de vorada recta de formigó, monocapa, amb secció de 20x10cm amb una cantonada axamfranada, col·locat acom a alçada i estesa amb panot de 3x3 pastilles, flor o ratllat de color gris de 20x40x4cm col·locat a truc de maceta amb morter mix. 
</v>
          </cell>
          <cell r="E39" t="str">
            <v>.</v>
          </cell>
          <cell r="F39" t="str">
            <v>.</v>
          </cell>
          <cell r="G39">
            <v>62.81</v>
          </cell>
          <cell r="H39" t="str">
            <v>PREU CORAL</v>
          </cell>
        </row>
        <row r="40">
          <cell r="A40" t="str">
            <v>perfilat terreny</v>
          </cell>
          <cell r="B40" t="str">
            <v>Perfilat manual de terreny</v>
          </cell>
          <cell r="C40" t="str">
            <v>m2</v>
          </cell>
          <cell r="D40" t="str">
            <v>Perfilat i repassada de parets i fons de caixa de paviment, en qualsevol tipus de terreny excepte en roca, amb mitjans manuals, fins a aconseguir un acabat geomètric.
</v>
          </cell>
          <cell r="E40" t="str">
            <v>.</v>
          </cell>
          <cell r="F40" t="str">
            <v>.</v>
          </cell>
          <cell r="G40">
            <v>11.7</v>
          </cell>
        </row>
        <row r="40">
          <cell r="J40" t="str">
            <v>cype 7,8</v>
          </cell>
        </row>
        <row r="41">
          <cell r="A41" t="str">
            <v>reblert</v>
          </cell>
          <cell r="B41" t="str">
            <v>Reomplert localitzat amb àrids reciclats</v>
          </cell>
          <cell r="C41" t="str">
            <v>m3</v>
          </cell>
          <cell r="D41" t="str">
            <v>Reomplert localitzat amb àrid reciclat mixt de formigó i material ceràmic de 40 a 80 mm de diàmetre i compactació en tongades successives de 20 cm d'espessor màxim amb picó vibrant de guiat manual.
</v>
          </cell>
          <cell r="E41" t="str">
            <v>.</v>
          </cell>
          <cell r="F41" t="str">
            <v>.</v>
          </cell>
          <cell r="G41">
            <v>32.48</v>
          </cell>
        </row>
        <row r="41">
          <cell r="K41" t="str">
            <v>€/h</v>
          </cell>
          <cell r="L41" t="str">
            <v>total</v>
          </cell>
        </row>
        <row r="42">
          <cell r="A42" t="str">
            <v>subbase grava</v>
          </cell>
          <cell r="B42" t="str">
            <v>Subbase de grava 15cm</v>
          </cell>
          <cell r="C42" t="str">
            <v>m2</v>
          </cell>
          <cell r="D42" t="str">
            <v>Subbase de grava de pedrera de pedra granítica de 15 cm de gruix i, grandària màxima de 50 a 70 mm, amb estesa i piconatge del material.
</v>
          </cell>
          <cell r="E42" t="str">
            <v>.</v>
          </cell>
          <cell r="F42" t="str">
            <v>.</v>
          </cell>
          <cell r="G42">
            <v>15.315</v>
          </cell>
        </row>
        <row r="42">
          <cell r="K42" t="str">
            <v>€/h</v>
          </cell>
          <cell r="L42" t="str">
            <v>total</v>
          </cell>
        </row>
        <row r="43">
          <cell r="A43" t="str">
            <v>làmina separadora</v>
          </cell>
          <cell r="B43" t="str">
            <v>Làmina separadora polietilè</v>
          </cell>
          <cell r="C43" t="str">
            <v>m2</v>
          </cell>
          <cell r="D43" t="str">
            <v>Làmina separadora de polietilè de 150 μm i 144 g/m2, col·locada no adherida</v>
          </cell>
          <cell r="E43" t="str">
            <v>.</v>
          </cell>
          <cell r="F43" t="str">
            <v>.</v>
          </cell>
          <cell r="G43">
            <v>2.3</v>
          </cell>
        </row>
        <row r="43">
          <cell r="K43">
            <v>39</v>
          </cell>
          <cell r="L43">
            <v>39</v>
          </cell>
        </row>
        <row r="45">
          <cell r="A45" t="str">
            <v>ACABAT OBRA</v>
          </cell>
        </row>
        <row r="45">
          <cell r="K45">
            <v>39</v>
          </cell>
          <cell r="L45" t="e">
            <v>#VALUE!</v>
          </cell>
        </row>
        <row r="46">
          <cell r="A46" t="str">
            <v>pintat mur</v>
          </cell>
          <cell r="B46" t="str">
            <v>Pintat de mur</v>
          </cell>
          <cell r="C46" t="str">
            <v>m2</v>
          </cell>
          <cell r="D46" t="str">
            <v>Aplicació manual de dues mans de pintura al Pliolite, color blanc, acabat mat, textura llisa, (rendiment: 0,09 l/m² cada mà); prèvia aplicació d'una mà d'emprimació acrílica reguladora de l'absorció, sobre parament exterior de morter de ciment.</v>
          </cell>
          <cell r="E46" t="str">
            <v>.</v>
          </cell>
          <cell r="F46" t="str">
            <v>.</v>
          </cell>
          <cell r="G46">
            <v>16.66</v>
          </cell>
        </row>
        <row r="46">
          <cell r="L46" t="str">
            <v>€/h</v>
          </cell>
        </row>
        <row r="47">
          <cell r="A47" t="str">
            <v>pintat ignífug R30</v>
          </cell>
          <cell r="B47" t="str">
            <v>Pintat perfils metàl·lics</v>
          </cell>
          <cell r="C47" t="str">
            <v>m2</v>
          </cell>
          <cell r="D47" t="str">
            <v>Protección pasiva contra incendios de estructura metálica, mediante la aplicación de una mano de pintura intumescente para interior o exterior, Promapaint-SC4 "PROMAT", a base de copolímeros acrílicos en emulsión acuosa, color blanco, hasta formar un espesor mínimo de película seca de 197 micras y conseguir una resistencia al fuego de 30 minutos, según UNE-EN 13381-8.Ver menos</v>
          </cell>
          <cell r="E47" t="str">
            <v>.</v>
          </cell>
          <cell r="F47" t="str">
            <v>.</v>
          </cell>
          <cell r="G47">
            <v>7.29</v>
          </cell>
        </row>
        <row r="47">
          <cell r="L47" t="str">
            <v>€/h</v>
          </cell>
        </row>
        <row r="48">
          <cell r="A48" t="str">
            <v>arrebossat mur</v>
          </cell>
          <cell r="B48" t="str">
            <v>Arrebossat de ciment sobre parament exterior</v>
          </cell>
          <cell r="C48" t="str">
            <v>m2</v>
          </cell>
          <cell r="D48" t="str">
            <v>Arrebossat de ciment, a bona vista, aplicat sobre un parament vertical exterior, acabat superficial rugós, amb morter de ciment, tipus GP CSIII W1, armat i reforçat amb malla antiàlcalis inclús en els canvis de material i en els fronts de forjat, prèvia aplicació d'una primera capa de morter de subjecció sobre el parament.</v>
          </cell>
          <cell r="E48" t="str">
            <v>.</v>
          </cell>
          <cell r="F48" t="str">
            <v>.</v>
          </cell>
          <cell r="G48">
            <v>39.43</v>
          </cell>
        </row>
        <row r="48">
          <cell r="L48" t="str">
            <v>€/h</v>
          </cell>
        </row>
        <row r="49">
          <cell r="A49" t="str">
            <v>arrebossat àrid projectat</v>
          </cell>
          <cell r="B49" t="str">
            <v>Revestiment amb morter acrílic i àrid projectat</v>
          </cell>
          <cell r="C49" t="str">
            <v>m2</v>
          </cell>
          <cell r="D49" t="str">
            <v>Revestiment decoratiu en façanes, amb morter suport, color a escollir, acabat granulat imitació pedra natural, amb un rendiment de 5 kg/m² i àrid de marbre, procedent de matxucatge, de granulometria compresa entre 5 i 9 mm, per a la realització de la capa d'acabat en revestiments continus.</v>
          </cell>
          <cell r="E49" t="str">
            <v>.</v>
          </cell>
          <cell r="F49" t="str">
            <v>.</v>
          </cell>
          <cell r="G49">
            <v>52.3</v>
          </cell>
        </row>
        <row r="49">
          <cell r="L49" t="str">
            <v>€/h</v>
          </cell>
        </row>
        <row r="50">
          <cell r="A50" t="str">
            <v>acabat peces abuixardat</v>
          </cell>
          <cell r="B50" t="str">
            <v>Paviment exterior formigó abuixardat</v>
          </cell>
          <cell r="C50" t="str">
            <v>m2</v>
          </cell>
          <cell r="D50" t="str">
            <v>Paviment exterior de peces prefabricades de formigó abuixardat, monocapa, , 40x60x7 cm, color blanc, resistència a flexió T, càrrega de ruptura 4, resistència al desgast H, col·locades picat de pitxell amb morter de ciment M-5 de 3 cm de gruix, deixant entre elles un junt de separació d'entre 1,5 i 3 mm. Inclús reomplert de junts amb sorra silícia de mida 0/2 mm</v>
          </cell>
          <cell r="E50" t="str">
            <v>.</v>
          </cell>
          <cell r="F50" t="str">
            <v>.</v>
          </cell>
          <cell r="G50">
            <v>52.02</v>
          </cell>
        </row>
        <row r="50">
          <cell r="L50" t="str">
            <v>€/h</v>
          </cell>
        </row>
        <row r="52">
          <cell r="A52" t="str">
            <v>INSTAL·LACIONS</v>
          </cell>
        </row>
        <row r="52">
          <cell r="K52">
            <v>39</v>
          </cell>
          <cell r="L52">
            <v>0</v>
          </cell>
        </row>
        <row r="53">
          <cell r="A53" t="str">
            <v>instal·lació elèctrica</v>
          </cell>
          <cell r="B53" t="str">
            <v>Instal·lació elèctrica </v>
          </cell>
          <cell r="C53" t="str">
            <v>ut</v>
          </cell>
          <cell r="D53" t="str">
            <v>Conjunt de treballs per al subministre, colocació i connexió de nou punt de llum al magatzem de cotxets, i connexió del porter electrònic. connexió i posta en servei. 
Inclou aplic de paret tortuga per a exterior amb reixeta metàl·lica. Potència màxima 60WPara bombeta E27.
- 2 unitats
Tota la instalació completa, amb tots els elements necessaris per al seu funcionament.
Inclou realització d'ajudes de paleteria de qualsevol tipus.</v>
          </cell>
          <cell r="E53" t="str">
            <v>.</v>
          </cell>
          <cell r="F53" t="str">
            <v>.</v>
          </cell>
          <cell r="G53">
            <v>923.85</v>
          </cell>
        </row>
        <row r="53">
          <cell r="L53" t="str">
            <v>€/h</v>
          </cell>
        </row>
        <row r="54">
          <cell r="A54" t="str">
            <v>porter electrònic</v>
          </cell>
          <cell r="B54" t="str">
            <v>Porter electrònic</v>
          </cell>
          <cell r="C54" t="str">
            <v>ut</v>
          </cell>
          <cell r="D54" t="str">
            <v>Instal·lació i posta en servei d'equip de porter electrònic antivandàlic per habitatge unifamiliar compost de: placa exterior del carrer antivandàlica amb polsador de trucada, font d'alimentació i telèfon. Inclús, obreportes, visera, cablejat i caixes.
</v>
          </cell>
          <cell r="E54" t="str">
            <v>.</v>
          </cell>
          <cell r="F54" t="str">
            <v>.</v>
          </cell>
          <cell r="G54">
            <v>367.62</v>
          </cell>
        </row>
        <row r="55">
          <cell r="A55" t="str">
            <v>baixant</v>
          </cell>
          <cell r="B55" t="str">
            <v>Baixant de pluvials</v>
          </cell>
          <cell r="C55" t="str">
            <v>ut</v>
          </cell>
          <cell r="D55" t="str">
            <v>Baixant circular de PVC amb òxid de titani, de Ø 80 mm, color gris clar, per a recollida d'aigües, formada per peces preformades, amb sistema d'unió per endoll i enganxat mitjançant adhesiu, col·locades amb brides metàl·liques, instal·lada a l'exterior de l'edifici. Inclús líquid netejador, adhesiu per a tubs i accessoris de PVC, connexions, colzes i peces especials.
</v>
          </cell>
          <cell r="E55" t="str">
            <v>.</v>
          </cell>
          <cell r="F55" t="str">
            <v>.</v>
          </cell>
          <cell r="G55">
            <v>17.64</v>
          </cell>
        </row>
        <row r="56">
          <cell r="K56" t="str">
            <v>€/h</v>
          </cell>
          <cell r="L56" t="str">
            <v>total</v>
          </cell>
        </row>
        <row r="57">
          <cell r="A57" t="str">
            <v>RETIRADA MOBILIARI I JOCS</v>
          </cell>
        </row>
        <row r="57">
          <cell r="K57">
            <v>39</v>
          </cell>
          <cell r="L57">
            <v>39</v>
          </cell>
        </row>
        <row r="58">
          <cell r="A58" t="str">
            <v>retirada tanca metàl·lica</v>
          </cell>
          <cell r="B58" t="str">
            <v>Retirada de tanca metàl·lica existent</v>
          </cell>
          <cell r="C58" t="str">
            <v>m</v>
          </cell>
          <cell r="D58" t="str">
            <v>Retirada de reixat metàl·lic de fins a 2 m d'alçària, com a màxim, sense enderroc de daus de formigó, a mà i càrrega manual i mecànica de runa sobre camió o contenidor</v>
          </cell>
          <cell r="E58" t="str">
            <v>.Mides de la tanca: mòduls 1.5m x 1m </v>
          </cell>
          <cell r="F58" t="str">
            <v>.</v>
          </cell>
          <cell r="G58">
            <v>20</v>
          </cell>
        </row>
        <row r="58">
          <cell r="L58" t="str">
            <v>€/h</v>
          </cell>
        </row>
        <row r="59">
          <cell r="I59" t="str">
            <v>pers.</v>
          </cell>
          <cell r="J59" t="str">
            <v>h</v>
          </cell>
          <cell r="K59">
            <v>39</v>
          </cell>
          <cell r="L59">
            <v>117</v>
          </cell>
        </row>
        <row r="60">
          <cell r="A60" t="str">
            <v>retirada tanca fusta</v>
          </cell>
          <cell r="B60" t="str">
            <v>Retirada de tanca de fusta existent</v>
          </cell>
          <cell r="C60" t="str">
            <v>m</v>
          </cell>
          <cell r="D60" t="str">
            <v>Retirada de tanca de fusta de fins a 2 m d'alçària, com a màxim, sense enderroc de daus de formigó, a mà i càrrega manual i mecànica de runa sobre camió o contenidor.</v>
          </cell>
          <cell r="E60" t="str">
            <v>.Mides de la tanca: mòduls 1.5m x 1m </v>
          </cell>
          <cell r="F60" t="str">
            <v>.</v>
          </cell>
          <cell r="G60">
            <v>20</v>
          </cell>
        </row>
        <row r="60">
          <cell r="I60">
            <v>2</v>
          </cell>
          <cell r="J60">
            <v>0.5</v>
          </cell>
        </row>
        <row r="61">
          <cell r="I61" t="str">
            <v>pers.</v>
          </cell>
          <cell r="J61" t="str">
            <v>h</v>
          </cell>
        </row>
        <row r="61">
          <cell r="L61" t="str">
            <v>€/h</v>
          </cell>
        </row>
        <row r="62">
          <cell r="A62" t="str">
            <v>retirada banc</v>
          </cell>
          <cell r="B62" t="str">
            <v>Retirada mobiliari existent</v>
          </cell>
          <cell r="C62" t="str">
            <v>ut</v>
          </cell>
          <cell r="D62" t="str">
            <v>Retirada de mobiliari existent (banc existent, jardineres, taules de picnic,...)  sense enderroc de daus de formigó, a mà i acopi en obra (no inclou recol.locació).</v>
          </cell>
          <cell r="E62" t="str">
            <v>.</v>
          </cell>
          <cell r="F62" t="str">
            <v>.</v>
          </cell>
          <cell r="G62">
            <v>40</v>
          </cell>
        </row>
        <row r="62">
          <cell r="I62">
            <v>2</v>
          </cell>
          <cell r="J62">
            <v>0.5</v>
          </cell>
          <cell r="K62">
            <v>39</v>
          </cell>
          <cell r="L62">
            <v>156</v>
          </cell>
        </row>
        <row r="63">
          <cell r="I63" t="str">
            <v>pers.</v>
          </cell>
          <cell r="J63" t="str">
            <v>h</v>
          </cell>
        </row>
        <row r="63">
          <cell r="L63" t="str">
            <v>€/h</v>
          </cell>
        </row>
        <row r="64">
          <cell r="A64" t="str">
            <v>retirada joc existent</v>
          </cell>
          <cell r="B64" t="str">
            <v>Retirada joc existent</v>
          </cell>
          <cell r="C64" t="str">
            <v>ut</v>
          </cell>
          <cell r="D64" t="str">
            <v>Retirada de joc existent, sense enderroc de daus de formigó, a mà i acopi en obra (no inclou recol.locació).</v>
          </cell>
          <cell r="E64" t="str">
            <v>.Mides del joc: alçada fins 1,5m i àrea màx: 100cm*100cm</v>
          </cell>
          <cell r="F64" t="str">
            <v>.</v>
          </cell>
          <cell r="G64">
            <v>120</v>
          </cell>
        </row>
        <row r="64">
          <cell r="I64">
            <v>2</v>
          </cell>
          <cell r="J64">
            <v>1.5</v>
          </cell>
          <cell r="K64">
            <v>39</v>
          </cell>
          <cell r="L64">
            <v>15.6</v>
          </cell>
        </row>
        <row r="65">
          <cell r="A65" t="str">
            <v>RECOL.LOCACIÓ MOBILIARI I JOCS</v>
          </cell>
        </row>
        <row r="66">
          <cell r="A66" t="str">
            <v>recolocació de mobiliari</v>
          </cell>
          <cell r="B66" t="str">
            <v>Recol.lació de mobiliari existent</v>
          </cell>
          <cell r="C66" t="str">
            <v>ut</v>
          </cell>
          <cell r="D66" t="str">
            <v>Recol.locació de mobiliari existent (banc existent, jardineres, taules de picnic)  sobre paviment, fixat mecànicament. (No inclou la formació de daus de formigó. No inclou reparació de l'element) </v>
          </cell>
          <cell r="E66" t="str">
            <v>.</v>
          </cell>
          <cell r="F66" t="str">
            <v>.</v>
          </cell>
          <cell r="G66">
            <v>156</v>
          </cell>
        </row>
        <row r="66">
          <cell r="I66" t="str">
            <v>pers.</v>
          </cell>
          <cell r="J66" t="str">
            <v>h</v>
          </cell>
        </row>
        <row r="67">
          <cell r="I67">
            <v>2</v>
          </cell>
          <cell r="J67">
            <v>2</v>
          </cell>
        </row>
        <row r="68">
          <cell r="A68" t="str">
            <v>retirada de vorada de fusta</v>
          </cell>
          <cell r="B68" t="str">
            <v>Retirada vorada de fusta</v>
          </cell>
          <cell r="C68" t="str">
            <v>m</v>
          </cell>
          <cell r="D68" t="str">
            <v>Retirada de vorada de fusta sense enderroc de daus de formigó, a mà i acopi en obra (no inclou recol.locació).</v>
          </cell>
          <cell r="E68" t="str">
            <v>.</v>
          </cell>
          <cell r="F68" t="str">
            <v>.</v>
          </cell>
          <cell r="G68">
            <v>20</v>
          </cell>
        </row>
        <row r="68">
          <cell r="I68" t="str">
            <v>pers.</v>
          </cell>
          <cell r="J68" t="str">
            <v>h</v>
          </cell>
        </row>
        <row r="69">
          <cell r="I69">
            <v>2</v>
          </cell>
          <cell r="J69">
            <v>0.2</v>
          </cell>
        </row>
        <row r="72">
          <cell r="A72" t="str">
            <v>PAVIMENTS I TERRES</v>
          </cell>
        </row>
        <row r="73">
          <cell r="A73" t="str">
            <v>CODI  BASE DADES</v>
          </cell>
          <cell r="B73" t="str">
            <v>TÍTOL PARTIDA</v>
          </cell>
          <cell r="C73" t="str">
            <v>UT</v>
          </cell>
          <cell r="D73" t="str">
            <v>DESCRIPCIÓ PARTIDA</v>
          </cell>
          <cell r="E73" t="str">
            <v>mides</v>
          </cell>
          <cell r="F73" t="str">
            <v>CODI REFERÈNCIA</v>
          </cell>
          <cell r="G73" t="str">
            <v>PREU           sense IVA</v>
          </cell>
        </row>
        <row r="74">
          <cell r="A74" t="str">
            <v>terra desnivell big bag</v>
          </cell>
          <cell r="B74" t="str">
            <v>Formació de desnivell</v>
          </cell>
          <cell r="C74" t="str">
            <v>m3</v>
          </cell>
          <cell r="D74" t="str">
            <v>Formació de desnivell amb terra barrejada amb una proporció aproximada de 45% argila, 45% sauló i un 10% de matèria orgànica per facilitar la plantació de vegetació  (no inclou gespa ni plantes). Subministrament en big bags i estesa amb mitjans manuals i mecànics.</v>
          </cell>
          <cell r="E74" t="str">
            <v>.mides: m3</v>
          </cell>
          <cell r="F74" t="str">
            <v>.</v>
          </cell>
          <cell r="G74">
            <v>88</v>
          </cell>
        </row>
        <row r="75">
          <cell r="A75" t="str">
            <v>terra desnivell camió</v>
          </cell>
          <cell r="B75" t="str">
            <v>Formació de desnivell</v>
          </cell>
          <cell r="C75" t="str">
            <v>m3</v>
          </cell>
          <cell r="D75" t="str">
            <v>Formació de desnivell amb terra barrejada amb una proporció aproximada de 45% argila, 45% sauló i un 10% de matèria orgànica per facilitar la plantació de vegetació  (no inclou gespa ni plantes)</v>
          </cell>
          <cell r="E75" t="str">
            <v>.mides: m3</v>
          </cell>
          <cell r="F75" t="str">
            <v>.</v>
          </cell>
          <cell r="G75">
            <v>88</v>
          </cell>
        </row>
        <row r="76">
          <cell r="A76" t="str">
            <v>terra vegetal big bag</v>
          </cell>
          <cell r="B76" t="str">
            <v>Terra vegetal  (per jardineres i parterre)</v>
          </cell>
          <cell r="C76" t="str">
            <v>m3</v>
          </cell>
          <cell r="D76" t="str">
            <v>Aportació i estesa de terra vegetal de jardineria de categoria alta,  amb una conductivitat elèctrica menor de 0,8 dS/m, segons NTJ 07A, subministrada en big bag i estesa amb mitjans manuals.</v>
          </cell>
          <cell r="E76" t="str">
            <v>.mides: m3</v>
          </cell>
          <cell r="F76" t="str">
            <v>.</v>
          </cell>
          <cell r="G76">
            <v>105.333333333333</v>
          </cell>
        </row>
        <row r="77">
          <cell r="A77" t="str">
            <v>terra vegetal sacs</v>
          </cell>
          <cell r="B77" t="str">
            <v>Terra vegetal  (per jardineres i parterre)</v>
          </cell>
          <cell r="C77" t="str">
            <v>ut</v>
          </cell>
          <cell r="D77" t="str">
            <v>Aportació i estesa de terra vegetal de jardineria de categoria alta,  amb una conductivitat elèctrica menor de 0,8 dS/m, segons NTJ 07A, subministrada en sacs i estesa amb mitjans manuals.</v>
          </cell>
          <cell r="E77" t="str">
            <v>.sac de 50 litres</v>
          </cell>
          <cell r="F77" t="str">
            <v>.</v>
          </cell>
          <cell r="G77">
            <v>20</v>
          </cell>
        </row>
        <row r="78">
          <cell r="A78" t="str">
            <v>terra vegetal càlcul</v>
          </cell>
        </row>
        <row r="78">
          <cell r="D78" t="str">
            <v>.arbres 0,3m3</v>
          </cell>
          <cell r="E78" t="str">
            <v>.</v>
          </cell>
          <cell r="F78" t="str">
            <v>.</v>
          </cell>
        </row>
        <row r="79">
          <cell r="A79" t="str">
            <v>sauló</v>
          </cell>
          <cell r="B79" t="str">
            <v>Paviment de sauló</v>
          </cell>
          <cell r="C79" t="str">
            <v>m3</v>
          </cell>
          <cell r="D79" t="str">
            <v>Subministrament i estesa de sauló com a paviment amb mitjans manuals. Base de sauló, amb estesa i piconatge del material al 95 % del PM.</v>
          </cell>
          <cell r="E79" t="str">
            <v>.mides: m3</v>
          </cell>
          <cell r="F79" t="str">
            <v>.</v>
          </cell>
          <cell r="G79">
            <v>92</v>
          </cell>
        </row>
        <row r="80">
          <cell r="A80" t="str">
            <v>sorra rentada</v>
          </cell>
          <cell r="B80" t="str">
            <v>Sorra per sorral</v>
          </cell>
          <cell r="C80" t="str">
            <v>m3</v>
          </cell>
          <cell r="D80" t="str">
            <v>Subministrament i estesa de barreja de sorra de 0.2 a 2 mm de gruix rentada sense partícules de fang ni argiles, amb estesa i nivellat de material. Inclou estesa.</v>
          </cell>
          <cell r="E80" t="str">
            <v>.mides: m3</v>
          </cell>
          <cell r="F80" t="str">
            <v>.</v>
          </cell>
          <cell r="G80">
            <v>136.173333333333</v>
          </cell>
        </row>
        <row r="81">
          <cell r="A81" t="str">
            <v>escorça</v>
          </cell>
          <cell r="B81" t="str">
            <v>Paviment d'escorça</v>
          </cell>
          <cell r="C81" t="str">
            <v>m3</v>
          </cell>
          <cell r="D81" t="str">
            <v>Subministrament i estesa d'escorça de pi de 30 a 50mm en sacs de 0,8m3.</v>
          </cell>
          <cell r="E81" t="str">
            <v>.mides: m3</v>
          </cell>
          <cell r="F81" t="str">
            <v>.</v>
          </cell>
          <cell r="G81">
            <v>168</v>
          </cell>
        </row>
        <row r="82">
          <cell r="A82" t="str">
            <v>grava volcànica</v>
          </cell>
          <cell r="B82" t="str">
            <v>Grava volcanica per a jardineres</v>
          </cell>
          <cell r="C82" t="str">
            <v>ut</v>
          </cell>
          <cell r="D82" t="str">
            <v>Subministrament i  estesa de grava volcànica de 12 a 30 mm, subministrada en sacs de 0,8 m3 i escampada amb mitjans manuals.</v>
          </cell>
          <cell r="E82" t="str">
            <v>.sacs de 25kg</v>
          </cell>
          <cell r="F82" t="str">
            <v>.</v>
          </cell>
          <cell r="G82">
            <v>16</v>
          </cell>
        </row>
        <row r="83">
          <cell r="A83" t="str">
            <v>ull de perdiu</v>
          </cell>
          <cell r="B83" t="str">
            <v>Àrid ull de perdiu</v>
          </cell>
          <cell r="C83" t="str">
            <v>m3</v>
          </cell>
          <cell r="D83" t="str">
            <v>Subministrament i estesa de paviment d'àrid ull de perdiu, rentat,  de grandària màxima 40 a 80 mm i cares arrodonides, amb estesa del material, amb mitjans manuals</v>
          </cell>
          <cell r="E83" t="str">
            <v>.mides: m3</v>
          </cell>
          <cell r="F83" t="str">
            <v>.</v>
          </cell>
          <cell r="G83">
            <v>114.666666666667</v>
          </cell>
        </row>
        <row r="84">
          <cell r="A84" t="str">
            <v>grava 4/7</v>
          </cell>
          <cell r="B84" t="str">
            <v>Grava de pedrera de pedra granítica, Ø40/70 mm</v>
          </cell>
          <cell r="C84" t="str">
            <v>m3</v>
          </cell>
          <cell r="D84" t="str">
            <v>Aportació i estesa de grava de pedrera de pedra granítica, Ø40/70 mm subministrada amb big bag i estesa amb mitjans manuals.</v>
          </cell>
          <cell r="E84" t="str">
            <v>.mides: m3</v>
          </cell>
          <cell r="F84" t="str">
            <v>.</v>
          </cell>
          <cell r="G84">
            <v>65.7</v>
          </cell>
        </row>
        <row r="85">
          <cell r="A85" t="str">
            <v>gespa artificial</v>
          </cell>
          <cell r="B85" t="str">
            <v>Gespa artificial</v>
          </cell>
          <cell r="C85" t="str">
            <v>m2</v>
          </cell>
          <cell r="D85" t="str">
            <v>Subministrament i col.locació de paviment amb gespa sintètica de fibra de poliolefina d'alçària 20 a 40 mm, col·locat sobre cinta adhesiva per a paviments tèxtils amb adhesiu d'aplicació unilateral de poliuretà, amb llastrat de sorra de sílice.</v>
          </cell>
          <cell r="E85" t="str">
            <v>.mides: m2</v>
          </cell>
          <cell r="F85" t="str">
            <v>.</v>
          </cell>
          <cell r="G85">
            <v>42</v>
          </cell>
        </row>
        <row r="86">
          <cell r="A86" t="str">
            <v>pedres caminets</v>
          </cell>
          <cell r="B86" t="str">
            <v>Pedres planes per a camins</v>
          </cell>
          <cell r="C86" t="str">
            <v>m2</v>
          </cell>
          <cell r="D86" t="str">
            <v>Execució de paviment amb peces irregulars d'entre 20 a 40 cm de diàmetres i d'entre 3 i 4 cm d'espessor per a formació de camins. Instal.lat damunt del terreny.    </v>
          </cell>
          <cell r="E86" t="str">
            <v>.mides: m2</v>
          </cell>
          <cell r="F86" t="str">
            <v>.</v>
          </cell>
          <cell r="G86">
            <v>97.5</v>
          </cell>
        </row>
        <row r="87">
          <cell r="A87" t="str">
            <v>formigó imprès</v>
          </cell>
          <cell r="B87" t="str">
            <v>Paviment continu de formigó imprès</v>
          </cell>
          <cell r="C87" t="str">
            <v>m2</v>
          </cell>
          <cell r="D87" t="str">
            <v>Execució de paviment continu de formigó imprès de  10cm de gruix, amb juntes, realitzat amb formigó HM-20/B/20/X0 fabricat en central i abocat des de camió, estès i vibrat manualment mitjançant regla vibrat: acolorit i endurit superfícialment mitjançant espolsada amb morter decoratiu de rodolament per a paviment de formigó, color blanc, rendiment 4,5kg/m2, acabat imprès en relleu, prèvia aplicació de desemmotllant en pols, color bordeus i capa de segellat final amb resina impermeabilitzant. El preu no inclou la base de la solera ni l'execució i el segellat de les juntes.</v>
          </cell>
          <cell r="E87" t="str">
            <v>.mides: m2</v>
          </cell>
          <cell r="F87" t="str">
            <v>.</v>
          </cell>
          <cell r="G87">
            <v>40.98</v>
          </cell>
        </row>
        <row r="88">
          <cell r="A88" t="str">
            <v>Pintura pistes esportives</v>
          </cell>
          <cell r="B88" t="str">
            <v>Marcat i senyalització de pistes esportives, amb pintura</v>
          </cell>
          <cell r="C88" t="str">
            <v>ut</v>
          </cell>
          <cell r="D88" t="str">
            <v>Aplicació manual de dues mans de pintura antilliscant, color blanc, acabat setinat, textura llisa, la primera mà diluïda amb un 20% d'aigua i la següent diluïda amb un 5% d'aigua o sense diluir; per a marcat i senyalització de pista de bàsquet, i pista de futbol, amb línies de 5 i 10cm cm d'amplada, contínues o discontínues, segons normes federatives.</v>
          </cell>
        </row>
        <row r="88">
          <cell r="G88">
            <v>1600</v>
          </cell>
        </row>
        <row r="94">
          <cell r="A94" t="str">
            <v>ELEMENTS: FUSTA- PEDRES -FIBRA COCO</v>
          </cell>
        </row>
        <row r="95">
          <cell r="A95" t="str">
            <v>CODI  BASE DADES</v>
          </cell>
          <cell r="B95" t="str">
            <v>TÍTOL PARTIDA</v>
          </cell>
          <cell r="C95" t="str">
            <v>UT</v>
          </cell>
          <cell r="D95" t="str">
            <v>DESCRIPCIÓ PARTIDA</v>
          </cell>
          <cell r="E95" t="str">
            <v>mides</v>
          </cell>
          <cell r="F95" t="str">
            <v>CODI REFERÈNCIA</v>
          </cell>
          <cell r="G95" t="str">
            <v>PREU           sense IVA</v>
          </cell>
        </row>
        <row r="95">
          <cell r="L95" t="str">
            <v>º</v>
          </cell>
        </row>
        <row r="96">
          <cell r="A96" t="str">
            <v>travessa</v>
          </cell>
          <cell r="B96" t="str">
            <v>Travesses de pi tractades per exterior</v>
          </cell>
          <cell r="C96" t="str">
            <v>m</v>
          </cell>
          <cell r="D96" t="str">
            <v>Subministrament i instal·lació de travessa de pi amb els cantos fresats, amb tractament autoclau amb cobertura d'ús 4 segons norma EN-335 de 250x20x10 cm, col·locada horitzontalment sobre el terreny. Inclou p/p de replanteig, excavació manual del terreny, selecció i tall de travesses, replé i compactació del terreny contigu i eliminació i neteja del material sobrant.</v>
          </cell>
          <cell r="E96" t="str">
            <v>.mides travessa: 250x20x10cm</v>
          </cell>
          <cell r="F96" t="str">
            <v>.</v>
          </cell>
          <cell r="G96">
            <v>43.29</v>
          </cell>
        </row>
        <row r="97">
          <cell r="A97" t="str">
            <v>travessa i tronc</v>
          </cell>
          <cell r="B97" t="str">
            <v>Perímetre de travessa i troncs d'acàcia</v>
          </cell>
          <cell r="C97" t="str">
            <v>m</v>
          </cell>
          <cell r="D97" t="str">
            <v>Subministrament i instal·lació de travessa de pi amb tractament autoclau i troncs d'acàcia polits, col·locats horitzontalment sobre el terreny, combinat amb troncs d'acàcia verticals de diferents mides. Inclou p/p de replanteig, excavació manual del terreny, selecció i tall de travesses, replé i compactació del terreny contigu i eliminació i neteja del material sobrant.</v>
          </cell>
          <cell r="E97" t="str">
            <v>.mides variades</v>
          </cell>
          <cell r="F97" t="str">
            <v>.</v>
          </cell>
          <cell r="G97">
            <v>117.37</v>
          </cell>
        </row>
        <row r="98">
          <cell r="A98" t="str">
            <v>delimitació troncs</v>
          </cell>
          <cell r="B98" t="str">
            <v>Troncs d'acàcia horitzontals i verticals</v>
          </cell>
          <cell r="C98" t="str">
            <v>.</v>
          </cell>
          <cell r="D98" t="str">
            <v>Subministrament i instal·lació de troncs d'acàcia polits i amb oli d'entre 14 i 24cm de diàmetre, col·locats horitzontal i verticalment sobre el terreny. Inclou p/p de replanteig, excavació manual del terreny, selecció i tall de troncs, replè i compactació del terreny contigu i eliminació i neteja del material sobrant.  Inclou mecanització.</v>
          </cell>
          <cell r="E98" t="str">
            <v>.</v>
          </cell>
          <cell r="F98" t="str">
            <v>.</v>
          </cell>
        </row>
        <row r="99">
          <cell r="A99" t="str">
            <v>troncs h</v>
          </cell>
          <cell r="B99" t="str">
            <v>Troncs horitzontal</v>
          </cell>
          <cell r="C99" t="str">
            <v>m</v>
          </cell>
          <cell r="D99" t="str">
            <v>Subministrament i instal·lació de troncs d'acàcia polits i amb oli d'entre 14 i 24cm de diàmetre, col·locats horitzontalment sobre el terreny. Inclou p/p de replanteig, excavació manual del terreny, selecció i tall de troncs, replè i compactació del terreny contigu i eliminació i neteja del material sobrant.  Inclou mecanització.</v>
          </cell>
          <cell r="E99" t="str">
            <v>.mides variades: 120-260cm</v>
          </cell>
          <cell r="F99" t="str">
            <v>.</v>
          </cell>
          <cell r="G99">
            <v>58</v>
          </cell>
        </row>
        <row r="100">
          <cell r="A100" t="str">
            <v>troncs v</v>
          </cell>
          <cell r="B100" t="str">
            <v>Troncs verticals</v>
          </cell>
          <cell r="C100" t="str">
            <v>ut</v>
          </cell>
          <cell r="D100" t="str">
            <v>Subministrament i instal·lació de troncs d'acàcia polits i amb oli d'entre 14 i 24cm de diàmetre, col·locats verticalment sobre el terreny. Inclou p/p de replanteig, excavació manual del terreny, selecció i tall de troncs, replè i compactació del terreny contigu i eliminació i neteja del material sobrant.  Inclou mecanització.</v>
          </cell>
          <cell r="E100" t="str">
            <v>.mides variades: 25-40cm</v>
          </cell>
          <cell r="F100" t="str">
            <v>.</v>
          </cell>
          <cell r="G100">
            <v>19</v>
          </cell>
        </row>
        <row r="101">
          <cell r="A101" t="str">
            <v>tarima acàcia</v>
          </cell>
          <cell r="B101" t="str">
            <v>Tarima de fusta d'acàcia</v>
          </cell>
          <cell r="C101" t="str">
            <v>m2</v>
          </cell>
          <cell r="D101" t="str">
            <v>Subministrament i instal·lació de tarima per a exterior, formada per llistons de fusta massissa d'acàcia, fixats mitjançant el sistema de fixació vista, sobre rastrells de fusta de pi, separats 40 cm entre si i fixats a la base existent. </v>
          </cell>
          <cell r="E101" t="str">
            <v>.mides: m2</v>
          </cell>
          <cell r="F101" t="str">
            <v>.</v>
          </cell>
          <cell r="G101">
            <v>156</v>
          </cell>
        </row>
        <row r="102">
          <cell r="A102" t="str">
            <v>tarima pi</v>
          </cell>
          <cell r="B102" t="str">
            <v>Tarima de fusta de pi</v>
          </cell>
          <cell r="C102" t="str">
            <v>m2</v>
          </cell>
          <cell r="D102" t="str">
            <v>Subministrament i instal·lació de tarima de fusta per a exterior, formada per llistons de fusta massissa de pi tractat a autoclau, fixats mitjançant el sistema de fixació vista, sobre rastrells de fusta de pi, separats 40 cm entre si i fixats a la base existent. </v>
          </cell>
          <cell r="E102" t="str">
            <v>.mides: m2</v>
          </cell>
          <cell r="F102" t="str">
            <v>.</v>
          </cell>
          <cell r="G102">
            <v>120</v>
          </cell>
        </row>
        <row r="103">
          <cell r="A103" t="str">
            <v>revestiment acàcia</v>
          </cell>
          <cell r="B103" t="str">
            <v>Revestiment de fusta d'acàcia</v>
          </cell>
          <cell r="C103" t="str">
            <v>m2</v>
          </cell>
          <cell r="D103" t="str">
            <v>Execució de forrat de fusta d'acàcia per a exterior, formada per taulons de fusta massissa d'acàcia, fixades mitjançant el sistema de fixació vista, sobre rastrells de fusta de pi, separats 40 cm entre si i fixats a la base existent. </v>
          </cell>
          <cell r="E103" t="str">
            <v>.mides: m2</v>
          </cell>
          <cell r="F103" t="str">
            <v>.</v>
          </cell>
          <cell r="G103">
            <v>247</v>
          </cell>
        </row>
        <row r="104">
          <cell r="A104" t="str">
            <v>revestiment de pi tractat</v>
          </cell>
          <cell r="B104" t="str">
            <v>Revestiment de fusta de pi tractat</v>
          </cell>
          <cell r="C104" t="str">
            <v>m2</v>
          </cell>
          <cell r="D104" t="str">
            <v>Execució de forrat de fusta de pi tractat per a exterior, formada per taulons de fusta de pi, fixades mitjançant el sistema de fixació vista, sobre rastrells de fusta de pi, separats 40 cm entre si i fixats a la base existent. </v>
          </cell>
          <cell r="E104" t="str">
            <v>.mides: m2</v>
          </cell>
          <cell r="F104" t="str">
            <v>.</v>
          </cell>
          <cell r="G104">
            <v>189</v>
          </cell>
          <cell r="H104" t="str">
            <v>inclosa subestructura de fusta</v>
          </cell>
        </row>
        <row r="105">
          <cell r="A105" t="str">
            <v>subestructura de maó</v>
          </cell>
          <cell r="B105" t="str">
            <v>Estructura suport de tarimes maó</v>
          </cell>
          <cell r="C105" t="str">
            <v>m2</v>
          </cell>
          <cell r="D105" t="str">
            <v>Formació  subestructura de suport per a tarimes fins a 50cm amb peus de maó ceràmic massís. No inclou revestiment.</v>
          </cell>
          <cell r="E105" t="str">
            <v>.mides: m2</v>
          </cell>
          <cell r="F105" t="str">
            <v>.</v>
          </cell>
          <cell r="G105">
            <v>55</v>
          </cell>
        </row>
        <row r="106">
          <cell r="A106" t="str">
            <v>subestructura de bloc</v>
          </cell>
          <cell r="B106" t="str">
            <v>Estructura suport de tarimes bloc de formigó</v>
          </cell>
          <cell r="C106" t="str">
            <v>m2</v>
          </cell>
          <cell r="D106" t="str">
            <v>Formació  subestructura de suport per a tarimes fins a 50cm amb peus de bloc de formigó massisat. No inclou revestiment.</v>
          </cell>
          <cell r="E106" t="str">
            <v>.mides: m2</v>
          </cell>
          <cell r="F106" t="str">
            <v>.</v>
          </cell>
          <cell r="G106">
            <v>44.53</v>
          </cell>
        </row>
        <row r="107">
          <cell r="A107" t="str">
            <v>subestructura de fusta</v>
          </cell>
          <cell r="B107" t="str">
            <v>Estructura suport de tarimes de fusta</v>
          </cell>
          <cell r="C107" t="str">
            <v>m2</v>
          </cell>
          <cell r="D107" t="str">
            <v>Formació de subestructura de suport per a tarimes amb rastrells de fusta de pi tractat perfil 7x4cm. No inclou revestiment.</v>
          </cell>
          <cell r="E107" t="str">
            <v>.mides: m2</v>
          </cell>
          <cell r="F107" t="str">
            <v>.</v>
          </cell>
          <cell r="G107">
            <v>69</v>
          </cell>
        </row>
        <row r="108">
          <cell r="A108" t="str">
            <v>pedres1</v>
          </cell>
          <cell r="B108" t="str">
            <v>Pedres gran format</v>
          </cell>
          <cell r="C108" t="str">
            <v>ut</v>
          </cell>
          <cell r="D108" t="str">
            <v>Subministrament i instal·lació de pedres tipus bolo de riu de 200&gt;400kg col·locada sobre el terreny. Inclou p/p de replanteig, excavació manual del terreny, selecció, replé i compactació del terreny contigu i eliminació i neteja del material sobrant.</v>
          </cell>
          <cell r="E108" t="str">
            <v>pedres grans: 80/120cm diàmetre. </v>
          </cell>
          <cell r="F108" t="str">
            <v>.</v>
          </cell>
          <cell r="G108">
            <v>75</v>
          </cell>
        </row>
        <row r="109">
          <cell r="A109" t="str">
            <v>pedres2</v>
          </cell>
          <cell r="B109" t="str">
            <v>Pedres mitjanes</v>
          </cell>
          <cell r="C109" t="str">
            <v>ut</v>
          </cell>
          <cell r="D109" t="str">
            <v>Subministrament i instal·lació de pedres tipus bolo de riu de 30&gt;40kg col·locada sobre el terreny. Inclou p/p de replanteig, excavació manual del terreny, selecció, replé i compactació del terreny contigu i eliminació i neteja del material sobrant.</v>
          </cell>
          <cell r="E109" t="str">
            <v>pedres mitjanes: 30cm diàmetre.</v>
          </cell>
          <cell r="F109" t="str">
            <v>.</v>
          </cell>
          <cell r="G109">
            <v>34</v>
          </cell>
        </row>
        <row r="110">
          <cell r="A110" t="str">
            <v>pedres3</v>
          </cell>
          <cell r="B110" t="str">
            <v>Pedres petites</v>
          </cell>
          <cell r="C110" t="str">
            <v>ut</v>
          </cell>
          <cell r="D110" t="str">
            <v>Subministrament i instal·lació de pedres tipus bolo de riu de 10&gt;20kg col·locada sobre el terreny. Inclou p/p de replanteig, excavació manual del terreny, selecció, replé i compactació del terreny contigu i eliminació i neteja del material sobrant.</v>
          </cell>
          <cell r="E110" t="str">
            <v>pedre petites: 20cm diàmetre. Pack de 12 unitats</v>
          </cell>
          <cell r="F110" t="str">
            <v>.</v>
          </cell>
          <cell r="G110">
            <v>36</v>
          </cell>
        </row>
        <row r="111">
          <cell r="A111" t="str">
            <v>rotllo fibra</v>
          </cell>
          <cell r="B111" t="str">
            <v>Rotllo de fibra de coco</v>
          </cell>
          <cell r="C111" t="str">
            <v>ut</v>
          </cell>
          <cell r="D111" t="str">
            <v>Subministrament i instal·lació de rotllo de fibra de coco d'alta densitat compactada i estructurada en una xarxa de polipropilè.  </v>
          </cell>
          <cell r="E111" t="str">
            <v>.mides: 300cm x 30cm diàmetre</v>
          </cell>
          <cell r="F111" t="str">
            <v>.</v>
          </cell>
          <cell r="G111">
            <v>184.5</v>
          </cell>
        </row>
        <row r="117">
          <cell r="A117" t="str">
            <v>MILANTA -JOCS</v>
          </cell>
        </row>
        <row r="118">
          <cell r="A118" t="str">
            <v>CODI  BASE DADES</v>
          </cell>
          <cell r="B118" t="str">
            <v>TÍTOL PARTIDA</v>
          </cell>
          <cell r="C118" t="str">
            <v>UT</v>
          </cell>
          <cell r="D118" t="str">
            <v>DESCRIPCIÓ PARTIDA</v>
          </cell>
          <cell r="E118" t="str">
            <v>mides</v>
          </cell>
          <cell r="F118" t="str">
            <v>CODI REFERÈNCIA</v>
          </cell>
          <cell r="G118" t="str">
            <v>PREU           sense IVA</v>
          </cell>
        </row>
        <row r="119">
          <cell r="A119" t="str">
            <v>EQUILIBRI</v>
          </cell>
        </row>
        <row r="120">
          <cell r="A120" t="str">
            <v>Rampa paparres</v>
          </cell>
          <cell r="B120" t="str">
            <v>Rampa amb paparres d'escalar</v>
          </cell>
          <cell r="C120" t="str">
            <v>ut</v>
          </cell>
          <cell r="D120" t="str">
            <v>Subministrament i instal.lació de rampa de taulell de fusta contralaminada tipus carrosser fenòlic de 120x250cm de 30mm de gruix per a exterior, amb 14 preses omogeniament instal·lades. Inclou la instal·lació i peces especials.  </v>
          </cell>
          <cell r="E120" t="str">
            <v>.</v>
          </cell>
          <cell r="F120" t="str">
            <v>.</v>
          </cell>
          <cell r="G120">
            <v>440</v>
          </cell>
        </row>
        <row r="121">
          <cell r="A121" t="str">
            <v>sargantana</v>
          </cell>
          <cell r="B121" t="str">
            <v>Circuit d'escalada</v>
          </cell>
          <cell r="C121" t="str">
            <v>ut</v>
          </cell>
          <cell r="D121" t="str">
            <v>Subministrament i instal·lació de grimpódrom amb 76 preses d'escalada en dues línies. Línia inferior amb les preses a 55cm d'açada màxima, línia superior entre 150 i 200cm d'alçada. </v>
          </cell>
          <cell r="E121" t="str">
            <v>.mides. Per a paret de 8m mínim.</v>
          </cell>
          <cell r="F121" t="str">
            <v>.</v>
          </cell>
          <cell r="G121">
            <v>1045.81</v>
          </cell>
        </row>
        <row r="122">
          <cell r="A122" t="str">
            <v>cal.listènia</v>
          </cell>
          <cell r="B122" t="str">
            <v>Cal.listènia de fusta </v>
          </cell>
          <cell r="C122" t="str">
            <v>ut</v>
          </cell>
          <cell r="D122" t="str">
            <v>Subministrament i instal·lació d'estructura de troncs verticals amb xarxa de corda i barres d'acer inoxidable. Inclou sabates de fomigó. </v>
          </cell>
          <cell r="E122" t="str">
            <v>.mides 2,5x2,5x2m</v>
          </cell>
          <cell r="F122" t="str">
            <v>.</v>
          </cell>
          <cell r="G122">
            <v>3485</v>
          </cell>
        </row>
        <row r="123">
          <cell r="A123" t="str">
            <v>cal.listènia 3 barres</v>
          </cell>
          <cell r="B123" t="str">
            <v>Joc de barres d'acer inoxidable </v>
          </cell>
          <cell r="C123" t="str">
            <v>ut</v>
          </cell>
          <cell r="D123" t="str">
            <v>Subministrament i instal·lació d'estructura de 3 troncs verticals amb barres d'acer inoxidable. Inclou sabates de fomigó. </v>
          </cell>
          <cell r="E123" t="str">
            <v>.mides 6,7x3,4x2m</v>
          </cell>
          <cell r="F123" t="str">
            <v>.</v>
          </cell>
          <cell r="G123">
            <v>1600</v>
          </cell>
          <cell r="H123" t="str">
            <v>preu eibe</v>
          </cell>
        </row>
        <row r="124">
          <cell r="A124" t="str">
            <v>cal.listènia 2 barres</v>
          </cell>
          <cell r="B124" t="str">
            <v>Joc de barres d'acer inoxidable </v>
          </cell>
          <cell r="C124" t="str">
            <v>ut</v>
          </cell>
          <cell r="D124" t="str">
            <v>Subministrament i instal·lació d'estructura de 2 troncs verticals amb barres d'acer inoxidable. Inclou sabates de fomigó. </v>
          </cell>
          <cell r="E124" t="str">
            <v>.mides 6,7x3,4x2m</v>
          </cell>
          <cell r="F124" t="str">
            <v>.</v>
          </cell>
          <cell r="G124">
            <v>1300</v>
          </cell>
          <cell r="H124" t="str">
            <v>preu eibe</v>
          </cell>
        </row>
        <row r="125">
          <cell r="A125" t="str">
            <v>xarxa joc</v>
          </cell>
          <cell r="B125" t="str">
            <v>Xarxa per grimpar </v>
          </cell>
          <cell r="C125" t="str">
            <v>ut</v>
          </cell>
          <cell r="D125" t="str">
            <v>Subministrament i instal·lació d'estructura de 4 troncs d'acàcia amb xarxa de corda. </v>
          </cell>
          <cell r="E125" t="str">
            <v>.mides 1,8x1,80m</v>
          </cell>
          <cell r="F125" t="str">
            <v>.</v>
          </cell>
          <cell r="G125">
            <v>780</v>
          </cell>
          <cell r="H125" t="str">
            <v>preu cabana tieta</v>
          </cell>
        </row>
        <row r="126">
          <cell r="A126" t="str">
            <v>rampa tronc acàcia</v>
          </cell>
          <cell r="B126" t="str">
            <v>Rampa de tronc d'acàcia</v>
          </cell>
          <cell r="C126" t="str">
            <v>ut</v>
          </cell>
          <cell r="D126" t="str">
            <v>Subministrament i col.locació de rampa de fusta d'acàcia</v>
          </cell>
          <cell r="E126" t="str">
            <v>.mides: 120x45cm</v>
          </cell>
          <cell r="F126" t="str">
            <v>.</v>
          </cell>
          <cell r="G126">
            <v>154</v>
          </cell>
        </row>
        <row r="127">
          <cell r="A127" t="str">
            <v>Tronc escala</v>
          </cell>
          <cell r="B127" t="str">
            <v>Tronc escala</v>
          </cell>
          <cell r="C127" t="str">
            <v>ut</v>
          </cell>
          <cell r="D127" t="str">
            <v>Subministrament i instal.lació de tronc tallat amb graons.</v>
          </cell>
          <cell r="E127" t="str">
            <v>.mides: Diàmetre 200cm Altura 240cm</v>
          </cell>
          <cell r="F127" t="str">
            <v>.</v>
          </cell>
          <cell r="G127">
            <v>320</v>
          </cell>
        </row>
        <row r="127">
          <cell r="K127" t="str">
            <v>m2</v>
          </cell>
          <cell r="L127" t="str">
            <v>€/m2 iva inclos</v>
          </cell>
        </row>
        <row r="128">
          <cell r="K128">
            <v>20</v>
          </cell>
          <cell r="L128">
            <v>569.6</v>
          </cell>
          <cell r="M128">
            <v>569.6</v>
          </cell>
        </row>
        <row r="128">
          <cell r="P128">
            <v>1.6</v>
          </cell>
          <cell r="Q128">
            <v>1.6</v>
          </cell>
          <cell r="R128">
            <v>2.56</v>
          </cell>
          <cell r="S128">
            <v>3328</v>
          </cell>
          <cell r="T128">
            <v>1300</v>
          </cell>
        </row>
        <row r="130">
          <cell r="A130" t="str">
            <v>plans inclinats</v>
          </cell>
          <cell r="B130" t="str">
            <v>Pla inclinat de panell de fusta</v>
          </cell>
          <cell r="C130" t="str">
            <v>m2</v>
          </cell>
          <cell r="D130" t="str">
            <v>Formació de plans inclinats de fusta per a fomentar els reptes motrius. Estructura de taulells de panell fenòlic, e18mm sobre base de llistons de pi tractat. Inclou preses d'escalada. No inclou l'estructura de suport
</v>
          </cell>
          <cell r="E130" t="str">
            <v>.mides: m2</v>
          </cell>
          <cell r="F130" t="str">
            <v>.</v>
          </cell>
          <cell r="G130">
            <v>207</v>
          </cell>
        </row>
        <row r="130">
          <cell r="P130">
            <v>3</v>
          </cell>
          <cell r="Q130">
            <v>5</v>
          </cell>
          <cell r="R130">
            <v>15</v>
          </cell>
          <cell r="S130">
            <v>11800</v>
          </cell>
          <cell r="T130">
            <v>786.666666666667</v>
          </cell>
        </row>
        <row r="131">
          <cell r="A131" t="str">
            <v>circuit charlie</v>
          </cell>
          <cell r="B131" t="str">
            <v>Circuit de joc </v>
          </cell>
          <cell r="C131" t="str">
            <v>u</v>
          </cell>
          <cell r="D131" t="str">
            <v>Subministrament i instal.lació de conjunt de diferents plataformes elevades de forma hexagonal de tarima de pi. Alçada entre 90cm i 60cm. Es contempla barana de protecció a les plataformes de més de 60cm. Diferents tipus de pujada: escala, rampa d'escalada, corda, tobogan.
</v>
          </cell>
          <cell r="E131" t="str">
            <v>.mides: segons disseny</v>
          </cell>
          <cell r="F131" t="str">
            <v>.</v>
          </cell>
          <cell r="G131">
            <v>11500</v>
          </cell>
        </row>
        <row r="132">
          <cell r="A132" t="str">
            <v>rampa lliscant amb barana</v>
          </cell>
          <cell r="B132" t="str">
            <v>Rampa lliscant amb preses i barana lateral</v>
          </cell>
          <cell r="C132" t="str">
            <v>u</v>
          </cell>
          <cell r="D132" t="str">
            <v>Subministrament i instal.lació d'estructura de joc amb rampa lliscant de tarima de fusta de pi tractada i rampa amb preses de fins 6m2. Inclou la formació de les baranes laterals amb subestructura de llistó de pi tractat, tancament superficial interior amb panell fenòlic, e18mm i tancament superficial exterior amb tarima de fusta de pi tractat. </v>
          </cell>
          <cell r="E132" t="str">
            <v>.mides: 6m2</v>
          </cell>
          <cell r="F132" t="str">
            <v>.</v>
          </cell>
          <cell r="G132">
            <v>5665</v>
          </cell>
          <cell r="H132" t="str">
            <v>preu tret de les Clisques</v>
          </cell>
        </row>
        <row r="132">
          <cell r="J132" t="str">
            <v>preu castell</v>
          </cell>
        </row>
        <row r="133">
          <cell r="A133" t="str">
            <v>castell fusta </v>
          </cell>
          <cell r="B133" t="str">
            <v>Castell de joc </v>
          </cell>
          <cell r="C133" t="str">
            <v>m2</v>
          </cell>
          <cell r="D133" t="str">
            <v>Subministrament i instal.lació de Castell de Joc format per una subestructura de fusta de pi tractada, pilars de fusta de 90x90mm, paviment de tarima de fusta de pi tractada, i baranes de fins h.110cm formades per allistonat de pi tractat. </v>
          </cell>
          <cell r="E133" t="str">
            <v>.h.segons disseny</v>
          </cell>
          <cell r="F133" t="str">
            <v>.</v>
          </cell>
          <cell r="G133">
            <v>456</v>
          </cell>
        </row>
        <row r="133">
          <cell r="J133">
            <v>11392</v>
          </cell>
        </row>
        <row r="134">
          <cell r="A134" t="str">
            <v>façana de castell</v>
          </cell>
          <cell r="B134" t="str">
            <v>Façana del castell de joc </v>
          </cell>
          <cell r="C134" t="str">
            <v>m2</v>
          </cell>
          <cell r="D134" t="str">
            <v>Subministrament i instal.lació de façana formada per una quadricula d'allistonat de pi tractat de 50x50mm a una de les cares i acabat d'allistonat de fusta de pi tractat de 96x18mm per l'altre costat. </v>
          </cell>
          <cell r="E134" t="str">
            <v>.h.segons disseny</v>
          </cell>
        </row>
        <row r="134">
          <cell r="G134">
            <v>200</v>
          </cell>
          <cell r="H134" t="str">
            <v>preu les clisques</v>
          </cell>
        </row>
        <row r="135">
          <cell r="A135" t="str">
            <v>estructura joc</v>
          </cell>
          <cell r="B135" t="str">
            <v>Estructura de joc </v>
          </cell>
          <cell r="C135" t="str">
            <v>u</v>
          </cell>
          <cell r="D135" t="str">
            <v>Subministrament i instal.lació d'estructura de joc de tarima de pi. Alçada entre 90cm i 60cm. Es contempla barana de protecció a les plataformes de més de 60cm. 
</v>
          </cell>
          <cell r="E135" t="str">
            <v>.mides: segons disseny</v>
          </cell>
        </row>
        <row r="135">
          <cell r="G135">
            <v>6000</v>
          </cell>
        </row>
        <row r="137">
          <cell r="A137" t="str">
            <v>conjunt 5 troncs</v>
          </cell>
          <cell r="B137" t="str">
            <v>Estructura de troncs d'equilibri</v>
          </cell>
          <cell r="C137" t="str">
            <v>ut</v>
          </cell>
          <cell r="D137" t="str">
            <v>Subministrament i instal·lació d'estructura formada per 5 troncs d'acàcia tractada. Tres troncs de 230 cm de diametre entre 12-16cm, un tronc de 180 cm i diametre entre 14-18cm i un tronc de 80cm i diametre 20cm.</v>
          </cell>
          <cell r="E137" t="str">
            <v>.mides: 3x3m</v>
          </cell>
          <cell r="F137" t="str">
            <v>.</v>
          </cell>
          <cell r="G137">
            <v>768</v>
          </cell>
        </row>
        <row r="138">
          <cell r="A138" t="str">
            <v>troncs la Pau</v>
          </cell>
          <cell r="B138" t="str">
            <v>Estructura de troncs d'equilibri la Pau</v>
          </cell>
          <cell r="C138" t="str">
            <v>ut</v>
          </cell>
          <cell r="D138" t="str">
            <v>Subministrament i instal·lació d'estructura formada per troncs verticals i horitzontals de fusta tractada amb oli. Dos troncs de 230 cm, quatre de 160 cm, dos de 80 cm  i un amb la forma de una Y.</v>
          </cell>
          <cell r="E138" t="str">
            <v>.mides: 6m2 aprox.</v>
          </cell>
          <cell r="F138" t="str">
            <v>.</v>
          </cell>
          <cell r="G138">
            <v>1246.3</v>
          </cell>
        </row>
        <row r="139">
          <cell r="A139" t="str">
            <v>piramide troncs</v>
          </cell>
          <cell r="B139" t="str">
            <v>Estructura de troncs 4 nivells</v>
          </cell>
          <cell r="C139" t="str">
            <v>ut</v>
          </cell>
          <cell r="D139" t="str">
            <v>Subministrament i instal·lació d'estructura formada per 8 troncs horitzontals de fusta d'acàcia tractada amb oli. Els troncs tenen diferents mides i estan col·locats intercalats, en forma piramidal fins a 4 nivells. Dos troncs de 147 cm, quatre de 120 cm, dos de 80 cm.</v>
          </cell>
          <cell r="E139" t="str">
            <v>.mides: 147x117x72cm</v>
          </cell>
          <cell r="F139" t="str">
            <v>.</v>
          </cell>
          <cell r="G139">
            <v>1357</v>
          </cell>
        </row>
        <row r="140">
          <cell r="A140" t="str">
            <v>bosc troncs</v>
          </cell>
          <cell r="B140" t="str">
            <v>Bosc de troncs</v>
          </cell>
          <cell r="C140" t="str">
            <v>ut</v>
          </cell>
          <cell r="D140" t="str">
            <v>Subministrament i instal·lació d'estructura formada per 25 troncs d'entre 16 i 24 cm de diàmetre, tallats a diverses alçades que, ajuntats, formen una elevació d'entre uns 20 i 50 cm.</v>
          </cell>
          <cell r="E140" t="str">
            <v>.mides: 100x80x50cm</v>
          </cell>
          <cell r="F140" t="str">
            <v>.</v>
          </cell>
          <cell r="G140">
            <v>540</v>
          </cell>
        </row>
        <row r="141">
          <cell r="A141" t="str">
            <v>xirinacs</v>
          </cell>
          <cell r="B141" t="str">
            <v>Estructura de troncs d'equilibri Xirinacs</v>
          </cell>
          <cell r="C141" t="str">
            <v>ut</v>
          </cell>
          <cell r="D141" t="str">
            <v>Subministrament i instal.lació d'estructura de 70ml troncs d'acàcia amb xarxa d'escalada i petita tarima, per a la descoberta i l'experimentació motriu.</v>
          </cell>
          <cell r="E141" t="str">
            <v>Mides: 750x670x210cm</v>
          </cell>
          <cell r="F141" t="str">
            <v>.</v>
          </cell>
          <cell r="G141">
            <v>4834.8</v>
          </cell>
        </row>
        <row r="142">
          <cell r="A142" t="str">
            <v>tarima xilòfon</v>
          </cell>
          <cell r="B142" t="str">
            <v>Tarima xilòfon</v>
          </cell>
          <cell r="C142" t="str">
            <v>ut</v>
          </cell>
          <cell r="D142" t="str">
            <v>Subministrament i col.locació de tarima de de fusta formada per subestructura de 2 troncs d'acàcia polits i amb tractament d'oli d'entre 14 i 24cm de diàmetre i plataforma triangular de llistons de fusta d'acàcia cargolada a la subestructura. (no inclou estructura de pilars).  </v>
          </cell>
          <cell r="E142" t="str">
            <v>.mides  superfície: 2m2</v>
          </cell>
          <cell r="F142" t="str">
            <v>.</v>
          </cell>
          <cell r="G142">
            <v>366</v>
          </cell>
        </row>
        <row r="143">
          <cell r="A143" t="str">
            <v>circuit de troncs</v>
          </cell>
          <cell r="B143" t="str">
            <v>Circuit de troncs amb tarimes de fusta, xarxa i cordes</v>
          </cell>
          <cell r="C143" t="str">
            <v>ut</v>
          </cell>
          <cell r="D143" t="str">
            <v>Subministrament i instal.lació d'estructura de troncs d'acàcia amb xarxa d'escalada, petita tarima i cordes per a la descoberta i l'experimentació motriu.</v>
          </cell>
          <cell r="E143" t="str">
            <v>.mides:600x600x250cm</v>
          </cell>
          <cell r="F143" t="str">
            <v>.</v>
          </cell>
          <cell r="G143">
            <v>5815</v>
          </cell>
        </row>
        <row r="144">
          <cell r="A144" t="str">
            <v>piràmide doble vèrtex</v>
          </cell>
          <cell r="B144" t="str">
            <v>Piràmide de doble vèrtex</v>
          </cell>
          <cell r="C144" t="str">
            <v>ut</v>
          </cell>
          <cell r="D144" t="str">
            <v>Subministrament i instal.lació d'estructura de fusta de pi amb tractament d'autoclau. Consta de pals de 10 cm de diàmetre i de dues peces d'unió d'acer.</v>
          </cell>
          <cell r="E144" t="str">
            <v>.mides: 700x400x250cm</v>
          </cell>
          <cell r="F144" t="str">
            <v>.</v>
          </cell>
          <cell r="G144">
            <v>640</v>
          </cell>
        </row>
        <row r="145">
          <cell r="A145" t="str">
            <v>ELEMENTS</v>
          </cell>
        </row>
        <row r="146">
          <cell r="A146" t="str">
            <v>caixes joc simbòlic 1</v>
          </cell>
          <cell r="B146" t="str">
            <v>Espai de joc simbòlic</v>
          </cell>
          <cell r="C146" t="str">
            <v>ut</v>
          </cell>
          <cell r="D146" t="str">
            <v>Subministrament i instal.lació de racó simbòlic format per caixes de fusta.</v>
          </cell>
          <cell r="E146" t="str">
            <v>.mides: 12 caixes de fusta i uns fogons (mides caixa 53 x 34 x 25 cm)</v>
          </cell>
          <cell r="F146" t="str">
            <v>.</v>
          </cell>
          <cell r="G146">
            <v>1066</v>
          </cell>
        </row>
        <row r="147">
          <cell r="A147" t="str">
            <v>caixes joc simbòlic 2</v>
          </cell>
          <cell r="B147" t="str">
            <v>Espai de joc simbòlic</v>
          </cell>
          <cell r="C147" t="str">
            <v>ut</v>
          </cell>
          <cell r="D147" t="str">
            <v>Subministrament i instal.lació de racó simbòlic format per caixes de fusta.</v>
          </cell>
          <cell r="E147" t="str">
            <v>.mides: 9 caixes de fusta, una taula i uns fogons (mides caixa 53 x 34 x 25 cm)</v>
          </cell>
          <cell r="F147" t="str">
            <v>.</v>
          </cell>
          <cell r="G147">
            <v>1426</v>
          </cell>
        </row>
        <row r="148">
          <cell r="A148" t="str">
            <v>Balança cabassos</v>
          </cell>
          <cell r="B148" t="str">
            <v>Balança cabassos</v>
          </cell>
          <cell r="C148" t="str">
            <v>ut</v>
          </cell>
          <cell r="D148" t="str">
            <v>Subministrament i instal·lació d'estructura de balança de cabassos. </v>
          </cell>
          <cell r="E148" t="str">
            <v>.Mides : 150x55x120cm</v>
          </cell>
          <cell r="F148" t="str">
            <v>.</v>
          </cell>
          <cell r="G148">
            <v>376</v>
          </cell>
          <cell r="H148" t="str">
            <v>preu instal·lat sobre terra de sauló o formigó</v>
          </cell>
        </row>
        <row r="149">
          <cell r="A149" t="str">
            <v>cuineta molí 0-3</v>
          </cell>
          <cell r="B149" t="str">
            <v>Obrador Molí per bressol</v>
          </cell>
          <cell r="C149" t="str">
            <v>ut</v>
          </cell>
          <cell r="D149" t="str">
            <v>Subministrament i instal.lació de cuina fusta amb. Moble de fusta amb prestatges, fogons, taulell pel racó de joc simbòlic. No inclou accessoris.</v>
          </cell>
          <cell r="E149" t="str">
            <v>.mides. 180x40x80h</v>
          </cell>
          <cell r="F149" t="str">
            <v>.</v>
          </cell>
          <cell r="G149">
            <v>945.2</v>
          </cell>
        </row>
        <row r="150">
          <cell r="A150" t="str">
            <v>cuineta molí</v>
          </cell>
          <cell r="B150" t="str">
            <v>Obrador Molí</v>
          </cell>
          <cell r="C150" t="str">
            <v>ut</v>
          </cell>
          <cell r="D150" t="str">
            <v>Subministrament i instal.lació de cuina fusta amb. Moble de fusta amb prestatges, fogons, taulell pel racó de joc simbòlic. No inclou accessoris.</v>
          </cell>
          <cell r="E150" t="str">
            <v>.mides. Per a paret de 8m mínim.</v>
          </cell>
          <cell r="F150" t="str">
            <v>.</v>
          </cell>
          <cell r="G150">
            <v>951.66</v>
          </cell>
        </row>
        <row r="151">
          <cell r="A151" t="str">
            <v>pont penjat</v>
          </cell>
          <cell r="B151" t="str">
            <v>Pont penjat</v>
          </cell>
          <cell r="C151" t="str">
            <v>ml</v>
          </cell>
          <cell r="D151" t="str">
            <v>Subministrament i instal.lació de pont amb base de llistons de fusta de pi tractat de 96x22mm separats entre si a una distància màxima de 10cm. Inclou barana a base de muntants de fusta de pi tractat amb autoclau de secció quadrada 4,5x4,5cm, de  100cm d'alt acabat i amb una separació de 100cm entre muntants. Inclou les fixacions.</v>
          </cell>
          <cell r="E151" t="str">
            <v>.mides: 200x90cm </v>
          </cell>
          <cell r="F151" t="str">
            <v>.</v>
          </cell>
          <cell r="G151">
            <v>1494</v>
          </cell>
        </row>
        <row r="152">
          <cell r="A152" t="str">
            <v>pont corda</v>
          </cell>
          <cell r="B152" t="str">
            <v>Pont de corda</v>
          </cell>
          <cell r="C152" t="str">
            <v>ml</v>
          </cell>
          <cell r="D152" t="str">
            <v>Subministrament i instal.lació d'un entremat de cordes formant un pont mòvil. Material: corda armada de 16mm. El pont es fixarà entre dos elements de fusta. La base del pont es d'una linia de corda i les baranes laterals també de corda estan separades entre elles 80cm. base de llistons de fusta de pi tractat de 96x22mm separats entre si a una distància màxima de 10cm. Inclou barana a base de muntants de fusta de pi tractat amb autoclau de secció quadrada 4,5x4,5cm, de  100cm d'alt acabat i amb una separació de 100cm entre muntants. Inclou les fixacions.</v>
          </cell>
          <cell r="E152" t="str">
            <v>.mides:segons disseny</v>
          </cell>
          <cell r="F152" t="str">
            <v>.</v>
          </cell>
          <cell r="G152">
            <v>490</v>
          </cell>
        </row>
        <row r="153">
          <cell r="A153" t="str">
            <v>turó descoberta 0-3</v>
          </cell>
          <cell r="B153" t="str">
            <v>Turó de la descoberta Bressol</v>
          </cell>
          <cell r="C153" t="str">
            <v>ut</v>
          </cell>
          <cell r="D153" t="str">
            <v>Subministrament i instal·lació d'estructura de fusta amb una plataforma elevada i escales i rampa per grimpada i descens i un bosquet de troncs. Estructura de fusta de pi amb tractament a l’autoclau. No inclou terra i plantes.</v>
          </cell>
          <cell r="E153" t="str">
            <v>.mides: 3m llarg x 2.20m ampe x 0.60m alçada</v>
          </cell>
          <cell r="F153" t="str">
            <v>.</v>
          </cell>
          <cell r="G153">
            <v>2019.9</v>
          </cell>
        </row>
        <row r="154">
          <cell r="A154" t="str">
            <v>pont de fusta amb rampa 0-3</v>
          </cell>
          <cell r="B154" t="str">
            <v>Pont de fusta amb rampa per bressol</v>
          </cell>
          <cell r="C154" t="str">
            <v>ut</v>
          </cell>
          <cell r="D154" t="str">
            <v>Subministrament i instal·lació d'estructura de fusta amb una plataforma elevada i escales i rampa als costats per accedir-hi. Tub magnum de 60cm de diàmetre.</v>
          </cell>
          <cell r="E154" t="str">
            <v>.mides: Estructura 2,90 x 0,80m i 0,70m d'alçada. Tub de 60cm de Diàmetre i 1,20m de llarg.</v>
          </cell>
          <cell r="F154" t="str">
            <v>.</v>
          </cell>
          <cell r="G154">
            <v>1813.81</v>
          </cell>
        </row>
        <row r="155">
          <cell r="A155" t="str">
            <v>pont de fusta amb rampa 3-6</v>
          </cell>
          <cell r="B155" t="str">
            <v>Pont de fusta amb rampa infantil</v>
          </cell>
          <cell r="C155" t="str">
            <v>ut</v>
          </cell>
          <cell r="D155" t="str">
            <v>Subministrament i instal·lació d'estructura de fusta amb una plataforma elevada i escales i rampa als costats per accedir-hi. Tub magnum de 80cm de diàmetre.</v>
          </cell>
          <cell r="E155" t="str">
            <v>.mides: Estructura 3,65 x 0'8m i 0,90 m d'alçada. Tub de 80cm de Diàmetre i 1'20m de llarg.</v>
          </cell>
          <cell r="F155" t="str">
            <v>.</v>
          </cell>
          <cell r="G155">
            <v>2037.69</v>
          </cell>
        </row>
        <row r="156">
          <cell r="A156" t="str">
            <v>pont mobil</v>
          </cell>
          <cell r="B156" t="str">
            <v>Pont mòbil de fusta </v>
          </cell>
          <cell r="C156" t="str">
            <v>ut</v>
          </cell>
          <cell r="D156" t="str">
            <v>Subministrament i instal·lació d'estructura de fusta amb una plataforma mòbil amb baranes de fusta i cordes.</v>
          </cell>
          <cell r="E156" t="str">
            <v>.mides:147 x 70 x 70cm</v>
          </cell>
          <cell r="F156" t="str">
            <v>.</v>
          </cell>
          <cell r="G156">
            <v>876.67</v>
          </cell>
        </row>
        <row r="157">
          <cell r="A157" t="str">
            <v>doble rampa petita</v>
          </cell>
          <cell r="B157" t="str">
            <v>Doble rampa de fusta petita amb amagatall</v>
          </cell>
          <cell r="C157" t="str">
            <v>ut</v>
          </cell>
          <cell r="D157" t="str">
            <v>Subministrament i instal·lació d'estructura de doble rampa de fusta amb propostes motrius per grimpar i amagatall.  Material: panell fenòlic i fusta de pi tractat. </v>
          </cell>
          <cell r="E157" t="str">
            <v>.mides:180 x 82 x 55cm</v>
          </cell>
          <cell r="F157" t="str">
            <v>.</v>
          </cell>
          <cell r="G157">
            <v>924.36</v>
          </cell>
        </row>
        <row r="158">
          <cell r="A158" t="str">
            <v>tub 60</v>
          </cell>
          <cell r="B158" t="str">
            <v>Túnel de tub</v>
          </cell>
          <cell r="C158" t="str">
            <v>ut</v>
          </cell>
          <cell r="D158" t="str">
            <v>Subministrament i instal·lació de tub corrugat (túnel) de 60cm de diàmetre i 120cm de llargada amb travesses al voltant com a element de fixació al terreny.</v>
          </cell>
          <cell r="E158" t="str">
            <v>.mides: Tub 120x 60cm</v>
          </cell>
          <cell r="F158" t="str">
            <v>.</v>
          </cell>
          <cell r="G158">
            <v>278</v>
          </cell>
          <cell r="H158" t="str">
            <v>120€ (preu venta escola només tub) + 138€ (3*46hores muntatge)</v>
          </cell>
        </row>
        <row r="159">
          <cell r="A159" t="str">
            <v>tub 60 tarima</v>
          </cell>
          <cell r="B159" t="str">
            <v>Túnel de tub sobre tarima</v>
          </cell>
          <cell r="C159" t="str">
            <v>ut</v>
          </cell>
          <cell r="D159" t="str">
            <v>Subministrament i instal·lació de tub corrugat (túnel) de 80cm de diàmetre i 120cm de llargada amb travesses al voltant com a element de fixació al terreny.</v>
          </cell>
          <cell r="E159" t="str">
            <v>.mides: Tub 120x 80cm</v>
          </cell>
          <cell r="F159" t="str">
            <v>.</v>
          </cell>
          <cell r="G159">
            <v>559.5</v>
          </cell>
        </row>
        <row r="160">
          <cell r="A160" t="str">
            <v>tub 80 tarima</v>
          </cell>
          <cell r="B160" t="str">
            <v>Túnel de tub</v>
          </cell>
          <cell r="C160" t="str">
            <v>ut</v>
          </cell>
          <cell r="D160" t="str">
            <v>Subministrament i instal·lació de tub corrugat (túnel) de 60cm de diàmetre i 120cm de llargada amb travesses al voltant com a element de fixació al terreny.</v>
          </cell>
          <cell r="E160" t="str">
            <v>.mides: Tub 120x 60cm</v>
          </cell>
          <cell r="F160" t="str">
            <v>.</v>
          </cell>
          <cell r="G160">
            <v>559.5</v>
          </cell>
        </row>
        <row r="161">
          <cell r="A161" t="str">
            <v>tub</v>
          </cell>
          <cell r="B161" t="str">
            <v>Túnel de tub</v>
          </cell>
          <cell r="C161" t="str">
            <v>ut</v>
          </cell>
          <cell r="D161" t="str">
            <v>Subministrament i instal·lació de tub corrugat (túnel) de 80cm de diàmetre i 120cm de llargada amb travesses al voltant com a element de fixació al terreny.</v>
          </cell>
          <cell r="E161" t="str">
            <v>.mides: Tub 120x 80cm</v>
          </cell>
          <cell r="F161" t="str">
            <v>.</v>
          </cell>
          <cell r="G161">
            <v>559.5</v>
          </cell>
        </row>
        <row r="162">
          <cell r="A162" t="str">
            <v>transvassament de sorra</v>
          </cell>
          <cell r="B162" t="str">
            <v>Estructura vertical de transvassament de sorra</v>
          </cell>
          <cell r="C162" t="str">
            <v>ut</v>
          </cell>
          <cell r="D162" t="str">
            <v>Subministrament i instal·lació d'estructura de transvassament de sorra. Estructura de fusta per fer transvassaments entre sorrals a diferents alçades amb politja i cabassos.</v>
          </cell>
          <cell r="E162" t="str">
            <v>.mides: segons disseny</v>
          </cell>
          <cell r="F162" t="str">
            <v>.</v>
          </cell>
          <cell r="G162">
            <v>550</v>
          </cell>
        </row>
        <row r="163">
          <cell r="A163" t="str">
            <v>gronxador niu</v>
          </cell>
          <cell r="B163" t="str">
            <v>Gronxador niu</v>
          </cell>
          <cell r="C163" t="str">
            <v>ut</v>
          </cell>
          <cell r="D163" t="str">
            <v>Subministrament i col.locació de gronxador niu amb estructura de troncs d'acàcia polits i amb tractament d'oli. Gronxador de diàmetre 100cm fabricat amb un trenat de cordes sintètiques de colors amb nucli intern d'acer i cadena de malla galvanitzada unida a la biga amb un doble dispositiu de fixació especial. Cal terra esmorteidor: sorra rentada de riu o gravilla (no inclòs). Àrea de seguretat: 275 x 737 cm</v>
          </cell>
          <cell r="E163" t="str">
            <v>.Mides: 275x115x237cm - diàmetre gronxador 100cm</v>
          </cell>
          <cell r="F163" t="str">
            <v>.</v>
          </cell>
          <cell r="G163">
            <v>3197</v>
          </cell>
        </row>
        <row r="164">
          <cell r="A164" t="str">
            <v>Llaüt</v>
          </cell>
          <cell r="B164" t="str">
            <v>Vaixell Llaüt</v>
          </cell>
          <cell r="C164" t="str">
            <v>ut</v>
          </cell>
          <cell r="D164" t="str">
            <v>Subministrament i col.locació de vaixell de cedre inspirat en els llaüts menorquins.</v>
          </cell>
          <cell r="E164" t="str">
            <v>.mides: 350x155x300cm</v>
          </cell>
          <cell r="F164" t="str">
            <v>.</v>
          </cell>
          <cell r="G164">
            <v>2466</v>
          </cell>
        </row>
        <row r="165">
          <cell r="A165" t="str">
            <v>ÀGORA</v>
          </cell>
        </row>
        <row r="166">
          <cell r="A166" t="str">
            <v>rotllana esquirol</v>
          </cell>
          <cell r="B166" t="str">
            <v>Rotllana de l'esquirol</v>
          </cell>
          <cell r="C166" t="str">
            <v>ut</v>
          </cell>
          <cell r="D166" t="str">
            <v>Subministrament i instal·lació de troncs d'acàcia polits i amb oli d'entre 14 i 24cm de diàmetre, col·locats verticalment sobre el terreny, en forma de rotllana. Inclou p/p de replanteig, excavació manual del terreny, selecció i tall de troncs, replè i compactació del terreny contigu i eliminació i neteja del material sobrant.  Inclou mecanització.</v>
          </cell>
          <cell r="E166" t="str">
            <v>.mides: 240cm de diàmetre. 23 troncs mitjans i un tronc gruixut al mig</v>
          </cell>
          <cell r="F166" t="str">
            <v>.</v>
          </cell>
          <cell r="G166">
            <v>554</v>
          </cell>
        </row>
        <row r="167">
          <cell r="A167" t="str">
            <v>àgora troncs pentàgon</v>
          </cell>
          <cell r="B167" t="str">
            <v>Àgora de troncs</v>
          </cell>
          <cell r="C167" t="str">
            <v>ut</v>
          </cell>
          <cell r="D167" t="str">
            <v>Subministrament i instal·lació d'estructura formada per troncs verticals i horitzontals de fusta tractada amb oli, disseny a mida.</v>
          </cell>
          <cell r="E167" t="str">
            <v>.mides: 6m2 aprox</v>
          </cell>
          <cell r="F167" t="str">
            <v>.</v>
          </cell>
          <cell r="G167">
            <v>820</v>
          </cell>
        </row>
        <row r="168">
          <cell r="A168" t="str">
            <v>àgora1</v>
          </cell>
          <cell r="B168" t="str">
            <v>Àgora travessa T</v>
          </cell>
          <cell r="C168" t="str">
            <v>ut</v>
          </cell>
          <cell r="D168" t="str">
            <v>Subministrament i instal·lació d'Àgora de trobada de 10 travesses de pi amb els cantos fresats, amb tractament autoclau amb cobertura d'ús 4 segons norma EN-335 de 250x20x10 cm, col·locada horitzontalment sobre el terreny. Inclou p/p de replanteig, excavació manual del terreny, selecció i tall de travesses, replé i compactació del terreny contigu i eliminació i neteja del material sobrant.</v>
          </cell>
          <cell r="E168" t="str">
            <v>.mides: 320x320cm</v>
          </cell>
          <cell r="F168" t="str">
            <v>.</v>
          </cell>
          <cell r="G168">
            <v>998.25</v>
          </cell>
        </row>
        <row r="169">
          <cell r="A169" t="str">
            <v>àgora2</v>
          </cell>
          <cell r="B169" t="str">
            <v>Àgora travessa entorn arbre</v>
          </cell>
          <cell r="C169" t="str">
            <v>ut</v>
          </cell>
          <cell r="D169" t="str">
            <v>Subministrament i instal·lació d'Àgora de trobada de 13 travesses de pi amb els cantos fresats, amb tractament autoclau amb cobertura d'ús 4 segons norma EN-335 de 250x20x10 cm, col·locada horitzontalment sobre el terreny. Inclou p/p de replanteig, excavació manual del terreny, selecció i tall de travesses, replé i compactació del terreny contigu i eliminació i neteja del material sobrant.</v>
          </cell>
          <cell r="E169" t="str">
            <v>.mides: 360x360cm</v>
          </cell>
          <cell r="F169" t="str">
            <v>.</v>
          </cell>
          <cell r="G169">
            <v>1297.12</v>
          </cell>
        </row>
        <row r="170">
          <cell r="A170" t="str">
            <v>àgora hexagonal</v>
          </cell>
          <cell r="B170" t="str">
            <v>Àgora travessa hexagonal</v>
          </cell>
          <cell r="C170" t="str">
            <v>ut</v>
          </cell>
          <cell r="D170" t="str">
            <v>Subministrament i instal·lació d'Àgora de trobada de 13 travesses de pi amb els cantos fresats, amb tractament autoclau amb cobertura d'ús 4 segons norma EN-335 de 250x20x10 cm, col·locada horitzontalment sobre el terreny. Inclou p/p de replanteig, excavació manual del terreny, selecció i tall de travesses, replé i compactació del terreny contigu i eliminació i neteja del material sobrant.</v>
          </cell>
          <cell r="E170" t="str">
            <v>.mides: 500cm de diàmetre</v>
          </cell>
          <cell r="F170" t="str">
            <v>.</v>
          </cell>
          <cell r="G170">
            <v>1080</v>
          </cell>
        </row>
        <row r="171">
          <cell r="A171" t="str">
            <v>BANCS</v>
          </cell>
        </row>
        <row r="172">
          <cell r="A172" t="str">
            <v>banc mig tronc gran</v>
          </cell>
          <cell r="B172" t="str">
            <v>Banc de mig tronc gran</v>
          </cell>
          <cell r="C172" t="str">
            <v>ut</v>
          </cell>
          <cell r="D172" t="str">
            <v>Subministrament i instal·lació de banc fet amb mig tronc d'acàcia</v>
          </cell>
          <cell r="E172" t="str">
            <v>.mides: 120x25x40cm</v>
          </cell>
          <cell r="F172" t="str">
            <v>.</v>
          </cell>
          <cell r="G172">
            <v>256.52</v>
          </cell>
        </row>
        <row r="173">
          <cell r="A173" t="str">
            <v>banc mig tronc petit</v>
          </cell>
          <cell r="B173" t="str">
            <v>Banc de mig tronc petit</v>
          </cell>
          <cell r="C173" t="str">
            <v>ut</v>
          </cell>
          <cell r="D173" t="str">
            <v>Subministrament i instal·lació de banc fet amb mig tronc d'acàcia</v>
          </cell>
          <cell r="E173" t="str">
            <v>.mides: 80x25x30 cm</v>
          </cell>
          <cell r="F173" t="str">
            <v>.</v>
          </cell>
          <cell r="G173">
            <v>227.48</v>
          </cell>
        </row>
        <row r="174">
          <cell r="A174" t="str">
            <v>banc de gabions i sobre de fusta</v>
          </cell>
          <cell r="B174" t="str">
            <v>Banc de mur de gabions i superfície plana de banc de llistons de fusta de pi</v>
          </cell>
          <cell r="C174" t="str">
            <v>ut</v>
          </cell>
          <cell r="D174" t="str">
            <v>Execució de mur de gabions amb una cara vista de malla electrosoldada, de filferro d'acer galvanitzat de 4,5 mm de diàmetre, amb una obertura de malla de 50x100 mm a les cares vistes i de 100x100 mm en les cares ocultes; reblert amb mitjans mecànics amb pedra calcària, de granulometria compresa entre 70 i 250 mm; Inclús tensors i grapes per a conformar adequadament els gabions. Banc de llistons de pi tractat.
</v>
          </cell>
          <cell r="E174" t="str">
            <v>.</v>
          </cell>
          <cell r="F174" t="str">
            <v>.</v>
          </cell>
          <cell r="G174">
            <v>2244</v>
          </cell>
        </row>
        <row r="175">
          <cell r="A175" t="str">
            <v>gandules</v>
          </cell>
          <cell r="B175" t="str">
            <v>Gandula de fusta</v>
          </cell>
          <cell r="C175" t="str">
            <v>ut</v>
          </cell>
          <cell r="D175" t="str">
            <v>Subministrament i col.locació de gàndula de fusta formada per subestructura de llistons de fusta de pi tractada per exterior de 200x100mm i revestiment amb lames de fusta de pi tractada per a exterior, de 145mmx34mm. Inclou el muntatge amb tots els elements necessaris.</v>
          </cell>
          <cell r="E175" t="str">
            <v>.Mides : 1x1,95m</v>
          </cell>
          <cell r="F175" t="str">
            <v>.</v>
          </cell>
          <cell r="G175">
            <v>508</v>
          </cell>
        </row>
        <row r="177">
          <cell r="A177" t="str">
            <v>TAULES</v>
          </cell>
        </row>
        <row r="178">
          <cell r="A178" t="str">
            <v>taula mig tronc amb 6 seients</v>
          </cell>
          <cell r="B178" t="str">
            <v>Taula mig tronc amb 6 seients</v>
          </cell>
          <cell r="C178" t="str">
            <v>ut</v>
          </cell>
          <cell r="D178" t="str">
            <v>Subministrament i instal·lació de taula de fusta feta a partir de mig tronc, més sis seients de troncs gruixuts.</v>
          </cell>
          <cell r="E178" t="str">
            <v>.mides: 120x40x40cm seients h30cm</v>
          </cell>
          <cell r="F178" t="str">
            <v>.</v>
          </cell>
          <cell r="G178">
            <v>496.5</v>
          </cell>
        </row>
        <row r="179">
          <cell r="A179" t="str">
            <v>taula experimentació petita</v>
          </cell>
          <cell r="B179" t="str">
            <v>Taula d'experimentació petita</v>
          </cell>
          <cell r="C179" t="str">
            <v>ut</v>
          </cell>
          <cell r="D179" t="str">
            <v>Subministrament i instal·lació de taula petita de fusta de carrosser amb recipients per a fer transvassaments i acompanyar el joc de sorral. Inclou  dos sedassos i embut.</v>
          </cell>
          <cell r="E179" t="str">
            <v>.mides: 120x60x38 cm</v>
          </cell>
          <cell r="F179" t="str">
            <v>.</v>
          </cell>
          <cell r="G179">
            <v>557.18</v>
          </cell>
        </row>
        <row r="180">
          <cell r="A180" t="str">
            <v>taula experimentació gran</v>
          </cell>
          <cell r="B180" t="str">
            <v>Taula d'experimentació gran</v>
          </cell>
          <cell r="C180" t="str">
            <v>ut</v>
          </cell>
          <cell r="D180" t="str">
            <v>Subministrament i instal·lació de taula gran de fusta de carrosser amb recipients per a fer transvassaments i acompanyar el joc de sorral. Inclou un bidó, dos sedassos i setanta accessoris.</v>
          </cell>
          <cell r="E180" t="str">
            <v>.mides: 150x60x58 cm</v>
          </cell>
          <cell r="F180" t="str">
            <v>.</v>
          </cell>
          <cell r="G180">
            <v>825.75</v>
          </cell>
        </row>
        <row r="181">
          <cell r="A181" t="str">
            <v>taula experimentació 2 nivells</v>
          </cell>
          <cell r="B181" t="str">
            <v>Taula d'experimentació 2 nivells</v>
          </cell>
          <cell r="C181" t="str">
            <v>ut</v>
          </cell>
          <cell r="D181" t="str">
            <v>Subministrament i instal·lació de taula de fusta de carrosser amb recipients per a fer transvassaments i acompanyar el joc de sorral. Inclou: 3 embuts de 22cm, 18 i 12cm + 2 sedacets de 15 x 15 + racors i tuberies ( 3 tubs + 8 racords) + manegues de 2 diametres + 6 culleretes + 2 pots + 1 morter + 4 closques de coco +4 llauradors</v>
          </cell>
          <cell r="E181" t="str">
            <v>.mides: 270 (150 + 120) x 60 x 60 i 38 cm</v>
          </cell>
          <cell r="F181" t="str">
            <v>.</v>
          </cell>
          <cell r="G181">
            <v>1146</v>
          </cell>
        </row>
        <row r="182">
          <cell r="A182" t="str">
            <v>taula picnic adults</v>
          </cell>
          <cell r="B182" t="str">
            <v>Taula de picnic de fusta per exterior per adults</v>
          </cell>
          <cell r="C182" t="str">
            <v>ut</v>
          </cell>
          <cell r="D182" t="str">
            <v>Subministrament i instal·lació de taula picnic amb bancs de fusta</v>
          </cell>
          <cell r="E182" t="str">
            <v>.mides: 200x77x80cm</v>
          </cell>
          <cell r="F182" t="str">
            <v>.</v>
          </cell>
          <cell r="G182">
            <v>505.78</v>
          </cell>
        </row>
        <row r="183">
          <cell r="A183" t="str">
            <v>taula picnic 6/12</v>
          </cell>
          <cell r="B183" t="str">
            <v>Taula de picnic de fusta per exterior 6/12anys</v>
          </cell>
          <cell r="C183" t="str">
            <v>ut</v>
          </cell>
          <cell r="D183" t="str">
            <v>Subministrament i instal·lació de taula picnic amb bancs de fusta</v>
          </cell>
          <cell r="E183" t="str">
            <v>.mides: 120x60x70cm (40cm alçada del banc)</v>
          </cell>
          <cell r="F183" t="str">
            <v>.</v>
          </cell>
          <cell r="G183">
            <v>388.17</v>
          </cell>
        </row>
        <row r="184">
          <cell r="A184" t="str">
            <v>taula picnic 3/6</v>
          </cell>
          <cell r="B184" t="str">
            <v>Taula de picnic de fusta per exterior 3/6anys</v>
          </cell>
          <cell r="C184" t="str">
            <v>ut</v>
          </cell>
          <cell r="D184" t="str">
            <v>Subministrament i instal·lació de taula picnic amb bancs de fusta</v>
          </cell>
          <cell r="E184" t="str">
            <v>.mides: 120x60x54cm</v>
          </cell>
          <cell r="F184" t="str">
            <v>.</v>
          </cell>
          <cell r="G184">
            <v>469.68</v>
          </cell>
        </row>
        <row r="185">
          <cell r="A185" t="str">
            <v>CABANES</v>
          </cell>
        </row>
        <row r="186">
          <cell r="A186" t="str">
            <v>túnel barres</v>
          </cell>
          <cell r="B186" t="str">
            <v>Túnel vegetal amb barres metàl.liques</v>
          </cell>
          <cell r="C186" t="str">
            <v>ut</v>
          </cell>
          <cell r="D186" t="str">
            <v>Subministrament i instal·lació de túnel fet amb barres metàl.liques plegades, ancorades a travessa de fusta</v>
          </cell>
          <cell r="E186" t="str">
            <v>.mides: 1x180x115cm</v>
          </cell>
          <cell r="F186" t="str">
            <v>.</v>
          </cell>
          <cell r="G186">
            <v>1140</v>
          </cell>
        </row>
        <row r="187">
          <cell r="A187" t="str">
            <v>túnel bambú</v>
          </cell>
          <cell r="B187" t="str">
            <v>Túnel de bambú</v>
          </cell>
          <cell r="C187" t="str">
            <v>ut</v>
          </cell>
          <cell r="D187" t="str">
            <v>Subministrament i instal·lació de túnel fet amb canya de bambú massissa, plegada, ancorades a travessa de fusta i/o terra</v>
          </cell>
          <cell r="E187" t="str">
            <v>.mides: 1x180x115cm</v>
          </cell>
          <cell r="F187" t="str">
            <v>.</v>
          </cell>
          <cell r="G187">
            <v>282</v>
          </cell>
        </row>
        <row r="188">
          <cell r="A188" t="str">
            <v>Palafit</v>
          </cell>
          <cell r="B188" t="str">
            <v>Cabana Palafit</v>
          </cell>
          <cell r="C188" t="str">
            <v>ut</v>
          </cell>
          <cell r="D188" t="str">
            <v>Subministrament i col.locació de cabana de troncs dàcàcia tipus palafit. Cabana oberta amb plataforma i teulada de fusta.</v>
          </cell>
          <cell r="E188" t="str">
            <v>.mides: 250x135x250cm</v>
          </cell>
          <cell r="F188" t="str">
            <v>.</v>
          </cell>
          <cell r="G188">
            <v>3132</v>
          </cell>
        </row>
        <row r="189">
          <cell r="A189" t="str">
            <v>cabana giravoltes</v>
          </cell>
          <cell r="B189" t="str">
            <v>Cabana de fusta</v>
          </cell>
          <cell r="C189" t="str">
            <v>ut</v>
          </cell>
          <cell r="D189" t="str">
            <v>Subministrament i instal.lació de cabana de fusta amb teulada a dues aigües i finestres.</v>
          </cell>
          <cell r="E189" t="str">
            <v>.mides: 140x160x155cm</v>
          </cell>
          <cell r="F189" t="str">
            <v>.</v>
          </cell>
          <cell r="G189">
            <v>1636.37</v>
          </cell>
        </row>
        <row r="190">
          <cell r="A190" t="str">
            <v>cabana 3/12  cordes</v>
          </cell>
          <cell r="B190" t="str">
            <v>Cabana de fusta amb cordes i paparres d'escalar</v>
          </cell>
          <cell r="C190" t="str">
            <v>ut</v>
          </cell>
          <cell r="D190" t="str">
            <v>Subministrament i instal.lació de cabana de fusta amb teulada a dues aigües amb cordes i paparres d'escalar.</v>
          </cell>
          <cell r="E190" t="str">
            <v>.mides: 140x160x155cm</v>
          </cell>
          <cell r="F190" t="str">
            <v>.</v>
          </cell>
          <cell r="G190">
            <v>2319</v>
          </cell>
        </row>
        <row r="191">
          <cell r="A191" t="str">
            <v>cabana 3/6</v>
          </cell>
          <cell r="B191" t="str">
            <v>Cabana de fusta</v>
          </cell>
          <cell r="C191" t="str">
            <v>ut</v>
          </cell>
          <cell r="D191" t="str">
            <v>Subministrament i instal.lació de cabana de fusta amb teulada a dues aigües.</v>
          </cell>
          <cell r="E191" t="str">
            <v>.mides: 140x160x155cm</v>
          </cell>
          <cell r="F191" t="str">
            <v>.</v>
          </cell>
          <cell r="G191">
            <v>1320.33</v>
          </cell>
        </row>
        <row r="192">
          <cell r="A192" t="str">
            <v>cabana cobert</v>
          </cell>
          <cell r="B192" t="str">
            <v>Cabana de fusta amb teulada a dues aigues </v>
          </cell>
          <cell r="C192" t="str">
            <v>ut</v>
          </cell>
          <cell r="D192" t="str">
            <v>Subministrament i instal.lació de cobert de fusta amb teulada a dues aigües. Estructura de 3 bigues de fusta de llistó de 115X45cm  inclinades a cada una de les aigües. Coberta de llistons de fusta de pi tractat a autoclau de 96x22mm. Inclou sabates de formigó i fixacions metàl·liques.</v>
          </cell>
          <cell r="E192" t="str">
            <v>.mides: 300x150x155h cm</v>
          </cell>
          <cell r="F192" t="str">
            <v>.</v>
          </cell>
          <cell r="G192">
            <v>2850</v>
          </cell>
        </row>
        <row r="193">
          <cell r="A193" t="str">
            <v>cabana niu</v>
          </cell>
          <cell r="B193" t="str">
            <v>Cabana niu d'ocells</v>
          </cell>
          <cell r="C193" t="str">
            <v>ut</v>
          </cell>
          <cell r="D193" t="str">
            <v>Subministrament i instal.lació de cabana de fusta d'càcia en forma de niu d'ocell. </v>
          </cell>
          <cell r="E193" t="str">
            <v>.mides: 120x160x125cm (h.25cm per sobre terra)</v>
          </cell>
          <cell r="F193" t="str">
            <v>.</v>
          </cell>
          <cell r="G193">
            <v>2862</v>
          </cell>
        </row>
        <row r="194">
          <cell r="A194" t="str">
            <v>tipi petit</v>
          </cell>
          <cell r="B194" t="str">
            <v>Tipi hexagonal petit</v>
          </cell>
          <cell r="C194" t="str">
            <v>ut</v>
          </cell>
          <cell r="D194" t="str">
            <v>Subministrament i instal.lació de cabana de fusta amb forma de tipi de sis costats per a exterior. </v>
          </cell>
          <cell r="E194" t="str">
            <v>.mides: Diàmetre 143cm Altura 205cm</v>
          </cell>
          <cell r="F194" t="str">
            <v>.</v>
          </cell>
          <cell r="G194">
            <v>2355.4</v>
          </cell>
        </row>
        <row r="195">
          <cell r="A195" t="str">
            <v>tipi gran</v>
          </cell>
          <cell r="B195" t="str">
            <v>Tipi hexagonal gran</v>
          </cell>
          <cell r="C195" t="str">
            <v>ut</v>
          </cell>
          <cell r="D195" t="str">
            <v>Subministrament i instal.lació de cabana de fusta amb forma de tipi de sis costats per a exterior.</v>
          </cell>
          <cell r="E195" t="str">
            <v>.mides: Diàmetre 200cm Altura 240cm</v>
          </cell>
          <cell r="F195" t="str">
            <v>.</v>
          </cell>
          <cell r="G195">
            <v>2588</v>
          </cell>
        </row>
        <row r="196">
          <cell r="A196" t="str">
            <v>tipi troncs</v>
          </cell>
          <cell r="B196" t="str">
            <v>Tipi de troncs</v>
          </cell>
          <cell r="C196" t="str">
            <v>ut</v>
          </cell>
          <cell r="D196" t="str">
            <v>Subministrament i instal.lació de cabana de fusta amb 4 troncs verticals lligats entre ells.</v>
          </cell>
          <cell r="E196" t="str">
            <v>.mides: 170cm de diàmetre.  220cm d'altura</v>
          </cell>
          <cell r="F196" t="str">
            <v>.</v>
          </cell>
          <cell r="G196">
            <v>1453</v>
          </cell>
        </row>
        <row r="197">
          <cell r="A197" t="str">
            <v>cabana tanques reciclades</v>
          </cell>
          <cell r="B197" t="str">
            <v>Cabana verda a dues aigües per a crear espais arrecerats.</v>
          </cell>
          <cell r="C197" t="str">
            <v>ut</v>
          </cell>
          <cell r="D197" t="str">
            <v>Subministrament i instal.lació de cabana a dues aigües per a crear espais arrecerats. Formada per dues tanques reciclades. La cabana s'acaba amb plantes enfiladisses no incloses en aquesta partida.</v>
          </cell>
          <cell r="E197" t="str">
            <v>.mides: 340x150x185cm </v>
          </cell>
          <cell r="F197" t="str">
            <v>.</v>
          </cell>
          <cell r="G197">
            <v>560</v>
          </cell>
        </row>
        <row r="198">
          <cell r="A198" t="str">
            <v>TOBOGAN</v>
          </cell>
        </row>
        <row r="199">
          <cell r="A199" t="str">
            <v>tobogan inox h.90cm</v>
          </cell>
          <cell r="B199" t="str">
            <v>Tobogan d'acer inoxidable</v>
          </cell>
          <cell r="C199" t="str">
            <v>ut</v>
          </cell>
          <cell r="D199" t="str">
            <v>Subministrament i col.locació de tobogan d'acer inoxidable, alçada 90cm i amplària 1m. </v>
          </cell>
          <cell r="E199" t="str">
            <v>.Mides del joc: alçada 90cm i 1m amplada</v>
          </cell>
          <cell r="F199" t="str">
            <v>.</v>
          </cell>
          <cell r="G199">
            <v>3107.4</v>
          </cell>
        </row>
        <row r="200">
          <cell r="A200" t="str">
            <v>tobogan plàstic h.90cm</v>
          </cell>
          <cell r="B200" t="str">
            <v>Tobogan de polimer H90</v>
          </cell>
          <cell r="C200" t="str">
            <v>ut</v>
          </cell>
          <cell r="D200" t="str">
            <v>Subministrament i col.locació de tobogan de polimer, moldejat segons rotomoldeo, d'alçada 90cm i amplària 66cm. Color taronja RAL 2010, 100% reciclat</v>
          </cell>
          <cell r="E200" t="str">
            <v>.Mides del joc: alçada 90cm i 66cm amplada</v>
          </cell>
          <cell r="F200" t="str">
            <v>.</v>
          </cell>
          <cell r="G200">
            <v>748</v>
          </cell>
        </row>
        <row r="201">
          <cell r="A201" t="str">
            <v>tobogan inox h.120cm</v>
          </cell>
          <cell r="B201" t="str">
            <v>Tobogan d'acer inoxidable</v>
          </cell>
          <cell r="C201" t="str">
            <v>ut</v>
          </cell>
          <cell r="D201" t="str">
            <v>Subministrament i col.locació de tobogan d'acer inoxidable, alçada 120cm i amplària 1m. </v>
          </cell>
          <cell r="E201" t="str">
            <v>.Mides del joc: alçada 90cm i 1m amplada</v>
          </cell>
          <cell r="F201" t="str">
            <v>.</v>
          </cell>
          <cell r="G201">
            <v>3434.45</v>
          </cell>
        </row>
        <row r="202">
          <cell r="A202" t="str">
            <v>tobogan plàstic h.150cm</v>
          </cell>
          <cell r="B202" t="str">
            <v>Tobogan de polimer H150</v>
          </cell>
          <cell r="C202" t="str">
            <v>ut</v>
          </cell>
          <cell r="D202" t="str">
            <v>Subministrament i col.locació de tobogan de polimer, moldejat segons rotomoldeo, d'alçada 150cm i amplària 66cm. Color taronja RAL 2010, 100% reciclat</v>
          </cell>
          <cell r="E202" t="str">
            <v>.Mides del joc: alçada 150cm i 66cm amplada</v>
          </cell>
          <cell r="F202" t="str">
            <v>.</v>
          </cell>
          <cell r="G202">
            <v>967</v>
          </cell>
        </row>
        <row r="203">
          <cell r="A203" t="str">
            <v>AIGUA</v>
          </cell>
        </row>
        <row r="204">
          <cell r="A204" t="str">
            <v>font</v>
          </cell>
          <cell r="B204" t="str">
            <v>Font amb tronc</v>
          </cell>
          <cell r="C204" t="str">
            <v>ut</v>
          </cell>
          <cell r="D204" t="str">
            <v>Subministrament i instal·lació de font feta amb tronc de fusta d'acàcia inspirada amb la natura i les seves formes. Inclou instal·lació de pericó prefabricat de poliopropile  de 300x300x300 registrable amb tapa cega de pvc reforçada i col·locada. </v>
          </cell>
          <cell r="E204" t="str">
            <v>.mides: 26x26x110 cm</v>
          </cell>
          <cell r="F204" t="str">
            <v>.</v>
          </cell>
          <cell r="G204">
            <v>735.73</v>
          </cell>
        </row>
        <row r="205">
          <cell r="A205" t="str">
            <v>canal tronc</v>
          </cell>
          <cell r="B205" t="str">
            <v>Canal de tronc</v>
          </cell>
          <cell r="C205" t="str">
            <v>ut</v>
          </cell>
          <cell r="D205" t="str">
            <v>Subministrament i instal·lació de troncs de fusta d'acàcia en forma de canal per a circuit d'aigua. </v>
          </cell>
          <cell r="E205" t="str">
            <v>.mides: 1 canal de 140cm</v>
          </cell>
          <cell r="F205" t="str">
            <v>.</v>
          </cell>
          <cell r="G205">
            <v>275.75</v>
          </cell>
        </row>
        <row r="206">
          <cell r="A206" t="str">
            <v>circuit aigua</v>
          </cell>
          <cell r="B206" t="str">
            <v>Circuit d'aigua</v>
          </cell>
          <cell r="C206" t="str">
            <v>ut</v>
          </cell>
          <cell r="D206" t="str">
            <v>Subministrament i instal·lació de circuit d'aigua per a exterior format per un conjunt de troncs de fusta d'acàcia i una plataforma de taulell de carrosser. </v>
          </cell>
          <cell r="E206" t="str">
            <v>.mides: 3 canals de 140cm i 1 plataforma</v>
          </cell>
          <cell r="F206" t="str">
            <v>.</v>
          </cell>
          <cell r="G206">
            <v>1103</v>
          </cell>
        </row>
        <row r="207">
          <cell r="A207" t="str">
            <v>circuit aigua 2 plataformes</v>
          </cell>
          <cell r="B207" t="str">
            <v>Circuit d'aigua</v>
          </cell>
          <cell r="C207" t="str">
            <v>ut</v>
          </cell>
          <cell r="D207" t="str">
            <v>Subministrament i instal·lació de circuit d'aigua per a exterior format per un conjunt de troncs de fusta d'acàcia i dues plataformes de taulell de carrosser. </v>
          </cell>
          <cell r="E207" t="str">
            <v>.mides: 3 canals de 140cm i 2 plataforma</v>
          </cell>
          <cell r="F207" t="str">
            <v>.</v>
          </cell>
          <cell r="G207">
            <v>1450</v>
          </cell>
        </row>
        <row r="208">
          <cell r="A208" t="str">
            <v>OMBRES</v>
          </cell>
        </row>
        <row r="209">
          <cell r="A209" t="str">
            <v>ombrejador 3x4</v>
          </cell>
          <cell r="B209" t="str">
            <v>Ombrejador</v>
          </cell>
          <cell r="C209" t="str">
            <v>ut</v>
          </cell>
          <cell r="D209" t="str">
            <v>Subministrament i instal.lació d'ombrejador de tela perforada.</v>
          </cell>
          <cell r="E209" t="str">
            <v>.mides: 300x400cm (tela)</v>
          </cell>
          <cell r="F209" t="str">
            <v>.</v>
          </cell>
          <cell r="G209">
            <v>290</v>
          </cell>
        </row>
        <row r="210">
          <cell r="A210" t="str">
            <v>ombrejador</v>
          </cell>
          <cell r="B210" t="str">
            <v>Ombrejador</v>
          </cell>
          <cell r="C210" t="str">
            <v>ut</v>
          </cell>
          <cell r="D210" t="str">
            <v>Subministrament i instal.lació d'estructura de quatre pilars de fusta amb ombrejador de tela perforada.</v>
          </cell>
          <cell r="E210" t="str">
            <v>.mides: 300x400cm (tela)</v>
          </cell>
          <cell r="F210" t="str">
            <v>.</v>
          </cell>
          <cell r="G210">
            <v>2421.3</v>
          </cell>
        </row>
        <row r="211">
          <cell r="A211" t="str">
            <v>ombrejador paret</v>
          </cell>
          <cell r="B211" t="str">
            <v>Ombrejador a paret</v>
          </cell>
          <cell r="C211" t="str">
            <v>ut</v>
          </cell>
          <cell r="D211" t="str">
            <v>Subministrament i instal.lació d'estructura de 2 pilars de fusta amb ombrejador de tela perforada ancorat a paret. Inclou elements de fixació.</v>
          </cell>
          <cell r="E211" t="str">
            <v>.mides: 300x400cm (tela)</v>
          </cell>
          <cell r="F211" t="str">
            <v>.</v>
          </cell>
          <cell r="G211">
            <v>1547</v>
          </cell>
          <cell r="H211" t="str">
            <v>(16ml*58+40ferratge+92€ muntatge+130 lloguer furgo)*1,2</v>
          </cell>
        </row>
        <row r="212">
          <cell r="A212" t="str">
            <v>pèrgola de fusta</v>
          </cell>
          <cell r="B212" t="str">
            <v>Pèrgola amb estructura i rastrells de fusta</v>
          </cell>
          <cell r="C212" t="str">
            <v>m</v>
          </cell>
          <cell r="D212" t="str">
            <v>Execució de pèrgola formada per muntants de bigues de fusta de secció quadrada 15x15cm, i formant voladís,  disposats cada 1,20m i ancorats al terra i al mur amb platines metàl.liques. Es disposen rastrells de fusta longitudinals de secció rectangular 7x10cm fixats a les bigues de fusta i separats entre si 15cm. La fusta de pi serà  tractada a l'autoclau amb acabat exterior d'oli biològic.</v>
          </cell>
          <cell r="E212" t="str">
            <v>. Segons disseny </v>
          </cell>
          <cell r="F212" t="str">
            <v>.</v>
          </cell>
          <cell r="G212">
            <v>470</v>
          </cell>
        </row>
        <row r="212">
          <cell r="K212">
            <v>32</v>
          </cell>
          <cell r="L212">
            <v>64</v>
          </cell>
        </row>
        <row r="213">
          <cell r="A213" t="str">
            <v>pèrgola urbadis</v>
          </cell>
          <cell r="B213" t="str">
            <v>Pèrgola metàl.lica amb llistons de fusta</v>
          </cell>
          <cell r="C213" t="str">
            <v>m2</v>
          </cell>
          <cell r="D213" t="str">
            <v>Subministrament i col.locació de pèrgola modular prefabricada formada per estructura autoportant de perfils d'acer galvanitzat de secció circular, i llistons de fusta de pi tractada a autoclau.</v>
          </cell>
          <cell r="E213" t="str">
            <v>.Mides : alçada 250cm </v>
          </cell>
          <cell r="F213" t="str">
            <v>.</v>
          </cell>
          <cell r="G213">
            <v>600</v>
          </cell>
        </row>
        <row r="213">
          <cell r="I213" t="str">
            <v>INCLOU  ANCLATGE PILAR EN T</v>
          </cell>
        </row>
        <row r="213">
          <cell r="L213" t="str">
            <v>€/h</v>
          </cell>
        </row>
        <row r="214">
          <cell r="A214" t="str">
            <v>pèrgola FUSTA TOKYO</v>
          </cell>
          <cell r="B214" t="str">
            <v>Pèrgola de pilars i llistons de fusta</v>
          </cell>
          <cell r="C214" t="str">
            <v>m2</v>
          </cell>
          <cell r="D214" t="str">
            <v>Subministrament i col.locació de pèrgola de 6x6x2,7m, autoportant de fusta d'avet laminat tractat, de classe GL 24h, formada per estructura de 6 pilars de fusta de 20x10cm de secció rectangular, vigues de 16x8cm i  viguetes de 12x6cm col.locades cada 50cm. Inclou pletines metàl.liques en T d'ancoratge de pilar a fonamentació.  </v>
          </cell>
          <cell r="E214" t="str">
            <v>.Mides : 6x6mx2,4-3m</v>
          </cell>
          <cell r="F214" t="str">
            <v>.</v>
          </cell>
          <cell r="G214">
            <v>6626</v>
          </cell>
        </row>
        <row r="214">
          <cell r="K214">
            <v>32</v>
          </cell>
          <cell r="L214">
            <v>384</v>
          </cell>
        </row>
        <row r="215">
          <cell r="A215" t="str">
            <v>sabata pèrgola</v>
          </cell>
          <cell r="B215" t="str">
            <v>Fonamentació pèrgola </v>
          </cell>
          <cell r="C215" t="str">
            <v>ut</v>
          </cell>
          <cell r="D215" t="str">
            <v>Execució de sabata de formigó en massa HM-20/B/20/X0 per a fonamentació dels pilars de l'estructura de la pèrgola sobre llit de grava Ø 40-60mm, e: 10cm</v>
          </cell>
          <cell r="E215" t="str">
            <v>.Mides: 80x80x80cm</v>
          </cell>
          <cell r="F215" t="str">
            <v>.</v>
          </cell>
          <cell r="G215">
            <v>300</v>
          </cell>
        </row>
        <row r="215">
          <cell r="L215" t="str">
            <v>€/h</v>
          </cell>
        </row>
        <row r="216">
          <cell r="A216" t="str">
            <v>ROCAFONDA MATARÓ</v>
          </cell>
        </row>
        <row r="217">
          <cell r="A217" t="str">
            <v>panell entramat fusta façana</v>
          </cell>
          <cell r="B217" t="str">
            <v>Entramat de fusta per a façana</v>
          </cell>
          <cell r="C217" t="str">
            <v>ut</v>
          </cell>
          <cell r="D217" t="str">
            <v>Subministrament i col.locació de mòdul de pèrgola de fusta de 300x200cm format per un allistonat de fusta de pi de flandes tractat de 44x93mm disposats horitzontalment  i acargolats a rastrells de fusta de 44x93mm. Inclou el muntatge i fixació del mòdul a estructura existent amb tots els elements necessaris. </v>
          </cell>
          <cell r="E217" t="str">
            <v>.Mides : 200x300cm</v>
          </cell>
          <cell r="F217" t="str">
            <v>.segons disseny</v>
          </cell>
          <cell r="G217">
            <v>1075.82</v>
          </cell>
        </row>
        <row r="217">
          <cell r="I217" t="str">
            <v>(fusta: 54ml*3,27€ llistons)+(16h*32€/h muntatge taller + col·locació)*1,4 benefici</v>
          </cell>
        </row>
        <row r="218">
          <cell r="A218" t="str">
            <v>panell entramat fusta pèrgola</v>
          </cell>
          <cell r="B218" t="str">
            <v>Entramat de fusta per a pèrgola</v>
          </cell>
          <cell r="C218" t="str">
            <v>ut</v>
          </cell>
          <cell r="D218" t="str">
            <v>Subministrament i col.locació de mòdul de pèrgola de fusta de 300x300cm format per un allistonat de fusta de pi de flandes tractat de 44x93mm disposats verticalment  i acargolats a rastrells de fusta de 44x93mm. Inclou el muntatge i fixació del mòdul a estructura metàl·lica amb tots els elements necessaris. </v>
          </cell>
          <cell r="E218" t="str">
            <v>.Mides : 300x300cm</v>
          </cell>
          <cell r="F218" t="str">
            <v>.segons disseny</v>
          </cell>
          <cell r="G218">
            <v>1213.16</v>
          </cell>
        </row>
        <row r="218">
          <cell r="I218" t="str">
            <v>(fusta: 86ml*3,27€ llistons)+(16h*32€/h muntatge taller + col·locació)*1,4 benefici</v>
          </cell>
        </row>
        <row r="219">
          <cell r="K219">
            <v>32</v>
          </cell>
          <cell r="L219">
            <v>288</v>
          </cell>
        </row>
        <row r="220">
          <cell r="A220" t="str">
            <v>MÒDUL 160</v>
          </cell>
        </row>
        <row r="220">
          <cell r="I220">
            <v>1</v>
          </cell>
          <cell r="J220">
            <v>2</v>
          </cell>
        </row>
        <row r="220">
          <cell r="L220" t="str">
            <v>€/h</v>
          </cell>
        </row>
        <row r="221">
          <cell r="A221" t="str">
            <v>pilar de fusta sobre base de formigó circular</v>
          </cell>
          <cell r="B221" t="str">
            <v>Modul 160: pilar de fusta sobre base de formigó circular</v>
          </cell>
          <cell r="C221" t="str">
            <v>ut</v>
          </cell>
          <cell r="D221" t="str">
            <v>Subministrament i col.locació de pilar de fusta laminada de pi tractada, de secció quadrat de 12x12x300cm sobre peu circular de formigó prefabricat, de diàmetre 58cm i pes 50kg. Inclou ancoratge de pilar a peu de formigó amb peça de suport de pilar regulable, fins a una altura regulable de 250mm, galvanitzada, per cargolar, i formada per dos plaques base de 80x80x4,2mm amb rosca de M24mm. Inclou cargols per muntatge.</v>
          </cell>
          <cell r="E221" t="str">
            <v>.Mides : alçada 300cm </v>
          </cell>
          <cell r="F221" t="str">
            <v>.segons disseny</v>
          </cell>
          <cell r="G221">
            <v>493.164</v>
          </cell>
        </row>
        <row r="221">
          <cell r="I221" t="str">
            <v>parella</v>
          </cell>
          <cell r="J221" t="str">
            <v>h</v>
          </cell>
          <cell r="K221">
            <v>32</v>
          </cell>
          <cell r="L221">
            <v>224</v>
          </cell>
        </row>
        <row r="222">
          <cell r="I222">
            <v>1</v>
          </cell>
          <cell r="J222">
            <v>12</v>
          </cell>
        </row>
        <row r="222">
          <cell r="L222" t="str">
            <v>€/h</v>
          </cell>
        </row>
        <row r="223">
          <cell r="A223" t="str">
            <v>entramat de fusta pèrgola</v>
          </cell>
          <cell r="B223" t="str">
            <v>Modul 160: entramat de fusta per a pèrgola</v>
          </cell>
          <cell r="C223" t="str">
            <v>ut</v>
          </cell>
          <cell r="D223" t="str">
            <v>Subministrament i col.locació de mòdul de pèrgola de fusta de 160x160cm format per un allistonat de fusta de 44x69mm disposats verticalment  i acargolats a rastrells de fusta de 44x93mm. Inclou el muntatge i fixació del mòdul als pilars amb tots els elements necessaris.</v>
          </cell>
          <cell r="E223" t="str">
            <v>.Mides : 160x136cm</v>
          </cell>
          <cell r="F223" t="str">
            <v>.segons disseny</v>
          </cell>
          <cell r="G223">
            <v>684.7232</v>
          </cell>
        </row>
        <row r="223">
          <cell r="I223" t="str">
            <v>parella</v>
          </cell>
          <cell r="J223" t="str">
            <v>h</v>
          </cell>
          <cell r="K223">
            <v>32</v>
          </cell>
          <cell r="L223">
            <v>288</v>
          </cell>
        </row>
        <row r="224">
          <cell r="I224">
            <v>1</v>
          </cell>
          <cell r="J224">
            <v>9</v>
          </cell>
        </row>
        <row r="224">
          <cell r="L224" t="str">
            <v>€/h</v>
          </cell>
        </row>
        <row r="225">
          <cell r="A225" t="str">
            <v>entramat de fusta paviment</v>
          </cell>
          <cell r="B225" t="str">
            <v>Modul 160: entramat de fusta per a tarima</v>
          </cell>
          <cell r="C225" t="str">
            <v>ut</v>
          </cell>
          <cell r="D225" t="str">
            <v>Subministrament i col.locació de mòdul d'entramat de fusta per a tarima de 160x160cm, format per un allistonat de fusta de 96x22mm acargolats a rastrells de fusta de 44x69mm i fixats a pilar amb una base de llistons de fusta de 44x93mm.  Inclou el muntatge i fixació del mòdul als pilars amb tots els elements necessaris.</v>
          </cell>
          <cell r="E225" t="str">
            <v>.Mides : 160x136cm</v>
          </cell>
          <cell r="F225" t="str">
            <v>.segons disseny</v>
          </cell>
          <cell r="G225">
            <v>537.50144</v>
          </cell>
        </row>
        <row r="225">
          <cell r="I225" t="str">
            <v>parella</v>
          </cell>
          <cell r="J225" t="str">
            <v>h</v>
          </cell>
          <cell r="K225">
            <v>32</v>
          </cell>
          <cell r="L225">
            <v>192</v>
          </cell>
        </row>
        <row r="226">
          <cell r="I226">
            <v>1</v>
          </cell>
          <cell r="J226">
            <v>7</v>
          </cell>
        </row>
        <row r="226">
          <cell r="L226" t="str">
            <v>€/h</v>
          </cell>
        </row>
        <row r="227">
          <cell r="A227" t="str">
            <v>entramat de fusta taula i banc</v>
          </cell>
          <cell r="B227" t="str">
            <v>Modul 160: entramat de fusta per a 2 bancs i taula</v>
          </cell>
          <cell r="C227" t="str">
            <v>ut</v>
          </cell>
          <cell r="D227" t="str">
            <v>Subministrament i col.locació de mòdul de taula amb 2 bancs de 160x160cm format per llistons de fusta de 115x45mm acargolats sobre llistons de fusta de 44x93mm. Inclou el muntatge i fixació del mòdul als pilars amb tots els elements necessaris.</v>
          </cell>
          <cell r="E227" t="str">
            <v>.Mides : 160x136cm</v>
          </cell>
          <cell r="F227" t="str">
            <v>.segons disseny</v>
          </cell>
          <cell r="G227">
            <v>490.112</v>
          </cell>
        </row>
        <row r="227">
          <cell r="I227" t="str">
            <v>parella</v>
          </cell>
          <cell r="J227" t="str">
            <v>h</v>
          </cell>
          <cell r="K227">
            <v>32</v>
          </cell>
          <cell r="L227">
            <v>64</v>
          </cell>
        </row>
        <row r="228">
          <cell r="I228">
            <v>1</v>
          </cell>
          <cell r="J228">
            <v>9</v>
          </cell>
        </row>
        <row r="229">
          <cell r="A229" t="str">
            <v>façana mòdul</v>
          </cell>
          <cell r="B229" t="str">
            <v>Modul 160: entramat de fusta per a façana</v>
          </cell>
          <cell r="C229" t="str">
            <v>ut</v>
          </cell>
          <cell r="D229" t="str">
            <v>Subministrament i col.locació de mòdul d'entramat de fusta per a façana de 160x160cm, format per un allistonat de fusta de 96x18mm acargolats a rastrells de fusta de 44x69mm i fixats a pilar amb una base de llistons de fusta de 44x93mm.  Inclou el muntatge i fixació del mòdul als pilars amb tots els elements necessaris.</v>
          </cell>
          <cell r="E229" t="str">
            <v>.Mides : 160x136cm</v>
          </cell>
          <cell r="F229" t="str">
            <v>.segons disseny</v>
          </cell>
          <cell r="G229">
            <v>537.50144</v>
          </cell>
        </row>
        <row r="229">
          <cell r="I229" t="str">
            <v>parella</v>
          </cell>
          <cell r="J229" t="str">
            <v>h</v>
          </cell>
        </row>
        <row r="230">
          <cell r="I230">
            <v>1</v>
          </cell>
          <cell r="J230">
            <v>6</v>
          </cell>
        </row>
        <row r="231">
          <cell r="A231" t="str">
            <v>rampa mòdul</v>
          </cell>
          <cell r="B231" t="str">
            <v>Modul 160: entramat de fusta per a rampa amb paparres</v>
          </cell>
          <cell r="C231" t="str">
            <v>ut</v>
          </cell>
          <cell r="D231" t="str">
            <v>Subministrament i col.locació de mòdul d'entramat de fusta per a rampa de 136x136cm, format per un allistonat de fusta de 96x22mm acargolats a rastrells de fusta de 44x69mm i fixats a pilar amb una base de llistons de fusta de 44x93mm.  Inclou la fixació de paparres de rocòdrom 12u. Inclou el muntatge i fixació del mòdul als pilars amb tots els elements necessaris.</v>
          </cell>
          <cell r="E231" t="str">
            <v>.Mides : 136x136cm</v>
          </cell>
          <cell r="F231" t="str">
            <v>.segons disseny</v>
          </cell>
          <cell r="G231">
            <v>687.50144</v>
          </cell>
        </row>
        <row r="231">
          <cell r="I231" t="str">
            <v>parella</v>
          </cell>
          <cell r="J231" t="str">
            <v>h</v>
          </cell>
        </row>
        <row r="232">
          <cell r="I232">
            <v>1</v>
          </cell>
          <cell r="J232">
            <v>2</v>
          </cell>
        </row>
        <row r="233">
          <cell r="A233" t="str">
            <v>carrosser mòdul</v>
          </cell>
          <cell r="B233" t="str">
            <v>Modul 160: triangulació amb panell fenòlic</v>
          </cell>
          <cell r="C233" t="str">
            <v>ut</v>
          </cell>
          <cell r="D233" t="str">
            <v>Subministrament i col.locació de mòdul de triangulació format per panell fenòlic (WBP) de mides 160x50xcm i Gruix 18mm. Inclou muntatge i fixació del mòdul als pilars amb tots els elements necessaris.</v>
          </cell>
          <cell r="E233" t="str">
            <v>.Mides:  160x50cm</v>
          </cell>
          <cell r="F233" t="str">
            <v>.segons disseny</v>
          </cell>
          <cell r="G233">
            <v>90.7</v>
          </cell>
        </row>
        <row r="235">
          <cell r="B235" t="str">
            <v>preu/ML</v>
          </cell>
          <cell r="C235" t="str">
            <v>MIDES</v>
          </cell>
        </row>
        <row r="236">
          <cell r="A236" t="str">
            <v>F1 llistó fusta 93x44</v>
          </cell>
          <cell r="B236">
            <v>4.52</v>
          </cell>
          <cell r="C236">
            <v>1.6</v>
          </cell>
          <cell r="D236">
            <v>7.232</v>
          </cell>
        </row>
        <row r="237">
          <cell r="A237" t="str">
            <v>F2 llistó fusta 69x44</v>
          </cell>
          <cell r="B237">
            <v>3.54</v>
          </cell>
          <cell r="C237">
            <v>1.36</v>
          </cell>
          <cell r="D237">
            <v>4.8144</v>
          </cell>
        </row>
        <row r="238">
          <cell r="A238" t="str">
            <v>F2 llistó fusta 69x44</v>
          </cell>
          <cell r="B238">
            <v>3.54</v>
          </cell>
          <cell r="C238">
            <v>1.6</v>
          </cell>
          <cell r="D238">
            <v>5.664</v>
          </cell>
        </row>
        <row r="238">
          <cell r="G238">
            <v>3194.88064</v>
          </cell>
        </row>
        <row r="239">
          <cell r="A239" t="str">
            <v>F3 llistó fusta 96x22</v>
          </cell>
          <cell r="B239">
            <v>2.43</v>
          </cell>
          <cell r="C239">
            <v>1.6</v>
          </cell>
          <cell r="D239">
            <v>3.888</v>
          </cell>
        </row>
        <row r="240">
          <cell r="A240" t="str">
            <v>F4 llistó fusta 115X45</v>
          </cell>
          <cell r="B240">
            <v>5.52</v>
          </cell>
          <cell r="C240">
            <v>1.6</v>
          </cell>
          <cell r="D240">
            <v>8.832</v>
          </cell>
        </row>
        <row r="241">
          <cell r="A241" t="str">
            <v>F5 carrosser</v>
          </cell>
          <cell r="B241">
            <v>53.4</v>
          </cell>
          <cell r="C241">
            <v>1</v>
          </cell>
          <cell r="D241">
            <v>53.4</v>
          </cell>
        </row>
        <row r="244">
          <cell r="A244" t="str">
            <v>JARDINERES</v>
          </cell>
        </row>
        <row r="245">
          <cell r="A245" t="str">
            <v>jardinera acàcia gran</v>
          </cell>
          <cell r="B245" t="str">
            <v>Jardinera gran de fusta d'acàcia</v>
          </cell>
          <cell r="C245" t="str">
            <v>ut</v>
          </cell>
          <cell r="D245" t="str">
            <v>Subministrament i instal·lació de jardinera de fusta d'acàcia  col·locada horitzontalment sobre el terreny.</v>
          </cell>
          <cell r="E245" t="str">
            <v>.mides: 120x40 36 cm</v>
          </cell>
          <cell r="F245" t="str">
            <v>.</v>
          </cell>
          <cell r="G245">
            <v>229.75</v>
          </cell>
        </row>
        <row r="246">
          <cell r="A246" t="str">
            <v>jardinera acàcia petita</v>
          </cell>
          <cell r="B246" t="str">
            <v>Jardinera petita de fusta d'acàcia</v>
          </cell>
          <cell r="C246" t="str">
            <v>ut</v>
          </cell>
          <cell r="D246" t="str">
            <v>Subministrament i instal·lació de jardinera de fusta d'acàcia  col·locada horitzontalment sobre el terreny.</v>
          </cell>
          <cell r="E246" t="str">
            <v>.mides: 75x25x30 cm</v>
          </cell>
          <cell r="F246" t="str">
            <v>.</v>
          </cell>
          <cell r="G246">
            <v>117.35</v>
          </cell>
        </row>
        <row r="247">
          <cell r="A247" t="str">
            <v>jardinera travessa150</v>
          </cell>
          <cell r="B247" t="str">
            <v>Jardinera gran amb travesses de fusta de pi tractades per exterior sobre paviment</v>
          </cell>
          <cell r="C247" t="str">
            <v>ut</v>
          </cell>
          <cell r="D247" t="str">
            <v>Subministrament i instal·lació de jardinera de travessa de pi amb els cantos fresats, amb tractament autoclau amb cobertura  d'ús 4 segons norma EN-335 de 250x20x10 cm, col·locada horitzontalment sobre el paviment. Inclou p/p de geotextil, selecció i tall de travesses.</v>
          </cell>
          <cell r="E247" t="str">
            <v>.mides: 210x60x40cm</v>
          </cell>
          <cell r="F247" t="str">
            <v>.</v>
          </cell>
          <cell r="G247">
            <v>330</v>
          </cell>
        </row>
        <row r="248">
          <cell r="A248" t="str">
            <v>jardinera travessa hort</v>
          </cell>
          <cell r="B248" t="str">
            <v>Jardinera quadrada amb travesses de fusta de pi tractades per exterior sobre paviment</v>
          </cell>
          <cell r="C248" t="str">
            <v>ut</v>
          </cell>
          <cell r="D248" t="str">
            <v>Subministrament i instal·lació de jardinera de travessa de pi amb els cantos fresats, amb tractament autoclau amb cobertura  d'us 4 segons norma EN-335 de 250x20x10 cm, col·locada horitzontalment sobre el paviment. Inclou p/p de geotextil, selecció i tall de travesses.</v>
          </cell>
          <cell r="E248" t="str">
            <v>.mides: 135x135x40cm</v>
          </cell>
          <cell r="F248" t="str">
            <v>.</v>
          </cell>
          <cell r="G248">
            <v>232</v>
          </cell>
        </row>
        <row r="249">
          <cell r="A249" t="str">
            <v>jardinera travessa arbre</v>
          </cell>
          <cell r="B249" t="str">
            <v>Jardinera per arbre amb travesses de fusta de pi tractades per exterior sobre paviment</v>
          </cell>
          <cell r="C249" t="str">
            <v>ut</v>
          </cell>
          <cell r="D249" t="str">
            <v>Subministrament i instal·lació de jardinera de travessa de pi amb els cantos fresats, amb tractament autoclau amb cobertura  d'us 4 segons norma EN-335 de 250x20x10 cm, col·locada horitzontalment sobre el paviment. Inclou p/p de geotextil, selecció i tall de travesses.</v>
          </cell>
          <cell r="E249" t="str">
            <v>.mides: 136x136x80</v>
          </cell>
          <cell r="F249" t="str">
            <v>.</v>
          </cell>
          <cell r="G249">
            <v>568</v>
          </cell>
        </row>
        <row r="250">
          <cell r="A250" t="str">
            <v>jardinera travessa</v>
          </cell>
          <cell r="B250" t="str">
            <v>Jardinera amb travesses de fusta de pi tractades per exterior sobre paviment</v>
          </cell>
          <cell r="C250" t="str">
            <v>m</v>
          </cell>
          <cell r="D250" t="str">
            <v>Subministrament i instal·lació de jardinera de travessa de pi amb els cantos fresats, amb tractament autoclau amb cobertura  d'us 4 segons norma EN-335 de 250x20x10 cm, col·locada horitzontalment sobre el paviment. Inclou làmina drenant de protecció interior, selecció i tall de travesses.</v>
          </cell>
          <cell r="E250" t="str">
            <v>. A mida</v>
          </cell>
          <cell r="F250" t="str">
            <v>.</v>
          </cell>
          <cell r="G250">
            <v>43.29</v>
          </cell>
        </row>
        <row r="252">
          <cell r="A252" t="str">
            <v>SERRALLERIA - MOBILIARI</v>
          </cell>
        </row>
        <row r="253">
          <cell r="A253" t="str">
            <v>ajuda serralleria</v>
          </cell>
          <cell r="B253" t="str">
            <v>Modificació serralleria existent</v>
          </cell>
          <cell r="C253" t="str">
            <v>h</v>
          </cell>
          <cell r="D253" t="str">
            <v>Jornada d'oficial de manyà.</v>
          </cell>
          <cell r="E253" t="str">
            <v>.</v>
          </cell>
          <cell r="F253" t="str">
            <v>.</v>
          </cell>
          <cell r="G253">
            <v>69</v>
          </cell>
        </row>
        <row r="254">
          <cell r="A254" t="str">
            <v>soldador</v>
          </cell>
          <cell r="B254" t="str">
            <v>Jornada soldador</v>
          </cell>
          <cell r="C254" t="str">
            <v>h</v>
          </cell>
          <cell r="D254" t="str">
            <v>Jornada de manobra de soldado certificat.</v>
          </cell>
          <cell r="E254" t="str">
            <v>.</v>
          </cell>
          <cell r="F254" t="str">
            <v>.</v>
          </cell>
          <cell r="G254">
            <v>50</v>
          </cell>
        </row>
        <row r="255">
          <cell r="A255" t="str">
            <v>barana rodons pi</v>
          </cell>
          <cell r="B255" t="str">
            <v>Barana de rodons de pi verticals </v>
          </cell>
          <cell r="C255" t="str">
            <v>m</v>
          </cell>
          <cell r="D255" t="str">
            <v>Formació de barana a base de rodons de fusta de pi tractat amb autoclau de 8cm de diàmetre per a deixar a 80cm d'alt acabat i amb una separació de 9cm entre ells. Fixats a una base de travessa de pi.
</v>
          </cell>
          <cell r="E255" t="str">
            <v>.mides: m</v>
          </cell>
          <cell r="F255" t="str">
            <v>.</v>
          </cell>
          <cell r="G255">
            <v>62.6</v>
          </cell>
        </row>
        <row r="256">
          <cell r="A256" t="str">
            <v>barana rodons pi i corda</v>
          </cell>
          <cell r="B256" t="str">
            <v>Barana de rodons de pi verticals i corda</v>
          </cell>
          <cell r="C256" t="str">
            <v>m</v>
          </cell>
          <cell r="D256" t="str">
            <v>Formació de barana a base de rodons de fusta de pi tractat amb autoclau de 8cm de diàmetre de  80cm d'alt acabat i amb una separació de corda de 125cm entre rodons. Fixats a una base de travessa de pi.
</v>
          </cell>
          <cell r="E256" t="str">
            <v>.mides: m</v>
          </cell>
          <cell r="F256" t="str">
            <v>.</v>
          </cell>
          <cell r="G256">
            <v>45</v>
          </cell>
        </row>
        <row r="257">
          <cell r="A257" t="str">
            <v>barana muntants pi i corda a paret</v>
          </cell>
          <cell r="B257" t="str">
            <v>Barana de muntants verticals de pi verticals i corda fixats a paret</v>
          </cell>
          <cell r="C257" t="str">
            <v>m</v>
          </cell>
          <cell r="D257" t="str">
            <v>Formació de barana a base de muntants de fusta de pi tractat amb autoclau de secció quadrada 7x7cm, de  100cm d'alt acabat i amb una separació de corda de 125cm entre muntants. Inclou les fixacions metàl.liques per fixar a la paret.
</v>
          </cell>
          <cell r="E257" t="str">
            <v>.mides: m</v>
          </cell>
          <cell r="F257" t="str">
            <v>.</v>
          </cell>
          <cell r="G257">
            <v>45</v>
          </cell>
        </row>
        <row r="258">
          <cell r="A258" t="str">
            <v>barana d'acer</v>
          </cell>
          <cell r="B258" t="str">
            <v>Barana de muntants verticals d'acer galvanitzat.</v>
          </cell>
          <cell r="C258" t="str">
            <v>m</v>
          </cell>
          <cell r="D258" t="str">
            <v>Barana d'acer galvanitzat en forma recta, de 110 cm d'altura, formada per: bastidor compost de barana superior i inferior de platina de perfil massís d'acer laminat en calent de 60x6 mm i muntants de de platina de perfil massís d'acer laminat en calent de 60x6 mm amb una separació de 10cm entre si. Peus cada 100cm fixats mitjançant ancoratge mecànic d'expansió.
</v>
          </cell>
          <cell r="E258" t="str">
            <v>.mides: m</v>
          </cell>
          <cell r="F258" t="str">
            <v>.</v>
          </cell>
          <cell r="G258">
            <v>164.868</v>
          </cell>
        </row>
        <row r="259">
          <cell r="A259" t="str">
            <v>porta emmental</v>
          </cell>
          <cell r="B259" t="str">
            <v>Porta de separació </v>
          </cell>
          <cell r="C259" t="str">
            <v>ut</v>
          </cell>
          <cell r="D259" t="str">
            <v>Subministrament i col.locació de porta batent de panel fenòlic (WBP) de mides 60x67cm i Gruix 18mm, amb forats decoratius fixada a 2 muntants laterals de fusta de pi tractat amb autoclau de secció quadrada 7x7cm, de  65cm d'alt acabat i 85cm de separació entre muntants. Inclou les fixacions metàl.liques i muntatge.</v>
          </cell>
          <cell r="E259" t="str">
            <v>.segons disseny</v>
          </cell>
          <cell r="F259" t="str">
            <v>.</v>
          </cell>
          <cell r="G259">
            <v>695.6</v>
          </cell>
        </row>
        <row r="260">
          <cell r="A260" t="str">
            <v>coberta sandvitx</v>
          </cell>
          <cell r="B260" t="str">
            <v>Coberta sandwitx</v>
          </cell>
          <cell r="C260" t="str">
            <v>m2</v>
          </cell>
          <cell r="D260" t="str">
            <v>Coberta amb panell sandwitx de planxes d'acer amb aillament de poliuretà (PUR B2), reacció al foc BS2 d0, amb un gruix total de 120 mm, amb la cara exterior i la cara interior perfilada en lames, galvanitzat en calent i prelacat en ambdues cares, gruix de les planxes (ext/int) 0.5/0,5 mm, junt longitudinal encadellat, amb fixació oculta amb tapajunts. Inclou tapajunts i remats perimetrals, elements de carener i totes les trobades del panell amb altres elements. Tot complert i totalment acabat.</v>
          </cell>
          <cell r="E260" t="str">
            <v>.</v>
          </cell>
          <cell r="F260" t="str">
            <v>.</v>
          </cell>
          <cell r="G260">
            <v>74.21</v>
          </cell>
        </row>
        <row r="261">
          <cell r="A261" t="str">
            <v>canal pluvial</v>
          </cell>
          <cell r="B261" t="str">
            <v>Canal de recollida d'aigua</v>
          </cell>
          <cell r="C261" t="str">
            <v>m2</v>
          </cell>
          <cell r="D261" t="str">
            <v>Canal exterior de secció rectangular de planxa d'acer galvanitzat i prelacat de 0,5 mm de gruix, de 120x120 mm de secció interior, col·locada amb peces especials fixada a coberta lleugera i connectada al baixant.</v>
          </cell>
          <cell r="E261" t="str">
            <v>.</v>
          </cell>
          <cell r="F261" t="str">
            <v>.</v>
          </cell>
          <cell r="G261">
            <v>38.24</v>
          </cell>
        </row>
        <row r="262">
          <cell r="A262" t="str">
            <v>tanca metàl·lica perfils buits</v>
          </cell>
          <cell r="B262" t="str">
            <v>Mòdul de tanca metàl·lica de perfils buits</v>
          </cell>
          <cell r="C262" t="str">
            <v>m</v>
          </cell>
          <cell r="D262" t="str">
            <v>Mòdul de clos metàl·lic,  format per perfils buits de secció circular, d'acer galvanitzat (Z 275), acabat lacat en color a definir per DF de 2 mm d'espessor, 60 mm de diàmetre i 2400 mm d'altura, amb una separació màxima de 80 mm entre els perfils, amb una pletina  metàl·lica horitzontal superior de 80x8mm i inferior de 100x8, fixada als perfils mitjançant soldadura. Peus d'anclatge de pletines fixats amb varil·les metàl·liques a solera de formigó existent. </v>
          </cell>
          <cell r="E262" t="str">
            <v>.mides: m</v>
          </cell>
          <cell r="F262" t="str">
            <v>.</v>
          </cell>
          <cell r="G262">
            <v>316.51</v>
          </cell>
        </row>
        <row r="263">
          <cell r="A263" t="str">
            <v>porta metàl·lica perfils buits</v>
          </cell>
          <cell r="B263" t="str">
            <v>Porta metàl·lica de perfils buits</v>
          </cell>
          <cell r="C263" t="str">
            <v>m</v>
          </cell>
          <cell r="D263" t="str">
            <v>Porta de clos metàl·lic de fulla batent de dimensions 95x240cm, format per perfils buits de secció circular, d'acer galvanitzat (Z 275), acabat lacat en color a definir per DF de 2 mm d'espessor, 60 mm de diàmetre i 2400 mm d'altura, amb una separació màxima de 80 mm entre els perfils, amb una pletina  metàl·lica horitzontal superior de 80x8mm i inferior de 100x8, fixada als perfils mitjançant soldadura. Obertura manual. Muntants laterals de pletina en "U" d'acer galvanitzat de 100x100x8mm asseguts amb formigó HM-25/B/20/X0, armadura portant de la cancel·la i rebuts a obra, elements d'ancoratge, ferramentes de seguretat i tancament, acabat amb emprimació antioxidant i accessoris.</v>
          </cell>
          <cell r="E263" t="str">
            <v>.mides: m</v>
          </cell>
          <cell r="F263" t="str">
            <v>.</v>
          </cell>
          <cell r="G263">
            <v>682.82</v>
          </cell>
        </row>
        <row r="263">
          <cell r="I263">
            <v>582.82</v>
          </cell>
        </row>
        <row r="264">
          <cell r="A264" t="str">
            <v>acer kg bigues</v>
          </cell>
          <cell r="B264" t="str">
            <v>Acer en bigues</v>
          </cell>
          <cell r="C264" t="str">
            <v>kg</v>
          </cell>
          <cell r="D264" t="str">
            <v>Acer UNE-EN 10025 S275JR, en bigues formades por peces simples de perfils laminats en calent de les sèries IPN, IPE, HEB, HEA, HEM o UPN, acabat amb emprimació antioxidant, amb unions soldades en obra, a una altura de fins a 3 m.</v>
          </cell>
          <cell r="E264" t="str">
            <v>.Mides : segons disseny</v>
          </cell>
        </row>
        <row r="264">
          <cell r="G264">
            <v>2.66</v>
          </cell>
        </row>
        <row r="264">
          <cell r="I264" t="str">
            <v>2,73 preu itec</v>
          </cell>
          <cell r="J264" t="str">
            <v>h</v>
          </cell>
        </row>
        <row r="264">
          <cell r="L264" t="str">
            <v>€/h</v>
          </cell>
        </row>
        <row r="265">
          <cell r="A265" t="str">
            <v>acer kg</v>
          </cell>
          <cell r="B265" t="str">
            <v>Acer en perfils laminats en calent</v>
          </cell>
          <cell r="C265" t="str">
            <v>kg</v>
          </cell>
          <cell r="D265" t="str">
            <v>Acer UNE-EN 10025 S275JR, en elements estructurals formats per peces simples de perfils laminats en calent de les sèries L, LD, T, rodó, quadrat, rectangular o platina, acabat amb emprimació antioxidant, col·locats amb unions cargolades en obra, a una altura de més de 3 m.</v>
          </cell>
          <cell r="E265" t="str">
            <v>.Mides : segons disseny</v>
          </cell>
        </row>
        <row r="265">
          <cell r="G265">
            <v>3.276</v>
          </cell>
        </row>
        <row r="265">
          <cell r="I265" t="str">
            <v>2,73 preu itec</v>
          </cell>
          <cell r="J265" t="str">
            <v>h</v>
          </cell>
        </row>
        <row r="265">
          <cell r="L265" t="str">
            <v>€/h</v>
          </cell>
        </row>
        <row r="266">
          <cell r="A266" t="str">
            <v>tancament reixa</v>
          </cell>
          <cell r="B266" t="str">
            <v>Tanca de muntants verticals d'acer</v>
          </cell>
          <cell r="C266" t="str">
            <v>m</v>
          </cell>
          <cell r="D266" t="str">
            <v>Barana d'acer galvanitzat en forma recta, de 200 cm d'altura, formada per: bastidor compost de barana superior i inferior de platina de perfil massís d'acer laminat en calent de 60x6 mm i muntants de de platina de perfil massís d'acer laminat en calent de 60x6 mm amb una separació de 10cm entre si. Peus cada 100cm fixats mitjançant ancoratge mecànic d'expansió.
</v>
          </cell>
          <cell r="E266" t="str">
            <v>.mides: m</v>
          </cell>
          <cell r="F266" t="str">
            <v>.</v>
          </cell>
          <cell r="G266">
            <v>412.17</v>
          </cell>
        </row>
        <row r="267">
          <cell r="A267" t="str">
            <v>porta metàl·lica</v>
          </cell>
          <cell r="B267" t="str">
            <v>Porta metàl·lica d'acer</v>
          </cell>
          <cell r="C267" t="str">
            <v>m</v>
          </cell>
          <cell r="D267" t="str">
            <v>Porta d'acer galvanitzat en forma recta, de 200 cm d'altura, formada per: bastidor compost de barana superior i inferior de platina de perfil massís d'acer laminat en calent de 60x6 mm i muntants de de platina de perfil massís d'acer laminat en calent de 60x6 mm amb una separació de 10cm entre si. 
</v>
          </cell>
          <cell r="E267" t="str">
            <v>.mides: m</v>
          </cell>
          <cell r="F267" t="str">
            <v>.</v>
          </cell>
          <cell r="G267">
            <v>824.34</v>
          </cell>
        </row>
        <row r="268">
          <cell r="A268" t="str">
            <v>porta metàl·lica xapa</v>
          </cell>
          <cell r="B268" t="str">
            <v>Porta metàl·lica de xapa d'acer</v>
          </cell>
          <cell r="C268" t="str">
            <v>m</v>
          </cell>
          <cell r="D268" t="str">
            <v>Porta d'acer galvanitzat en forma recta, de 90 cm d'altura, formada per: bastidor compost de barana superior i inferior de platina de perfil massís d'acer laminat en calent de 60x6 mm i i plafons de xapa metàl·lica perforada (igual o similar a la de la tanca metàl·lica existent). 
</v>
          </cell>
          <cell r="E268" t="str">
            <v>.mides: m</v>
          </cell>
          <cell r="F268" t="str">
            <v>.</v>
          </cell>
          <cell r="G268">
            <v>132.56</v>
          </cell>
        </row>
        <row r="270">
          <cell r="A270" t="str">
            <v>VEGETACIO I REG</v>
          </cell>
        </row>
        <row r="271">
          <cell r="A271" t="str">
            <v>CODI  BASE DADES</v>
          </cell>
          <cell r="B271" t="str">
            <v>TÍTOL PARTIDA</v>
          </cell>
          <cell r="C271" t="str">
            <v>UT</v>
          </cell>
          <cell r="D271" t="str">
            <v>DESCRIPCIÓ PARTIDA</v>
          </cell>
          <cell r="E271" t="str">
            <v>mides</v>
          </cell>
          <cell r="F271" t="str">
            <v>CODI REFERÈNCIA</v>
          </cell>
          <cell r="G271" t="str">
            <v>PREU           sense IVA</v>
          </cell>
        </row>
        <row r="272">
          <cell r="A272" t="str">
            <v>arbre petit</v>
          </cell>
          <cell r="B272" t="str">
            <v>Plantació d'arbre petit</v>
          </cell>
          <cell r="C272" t="str">
            <v>ut</v>
          </cell>
          <cell r="D272" t="str">
            <v>Subministrament i plantació d'arbre planifoli amb pa de terra o contenidor, de 14 a 16 cm de perímetre de tronc a 1,5 m d'alçària (a partir del coll de l'arrel), excavació de clot de plantació de 100x100x60 cm amb mitjans mecànics, en un pendent inferior al 25 %, reblert del clot amb terra de l'excavació barrejada amb un 10% de compost sobre llit de grava de 10cm i primer reg.  (el preu no inclou la terra vegetal ni la grava)                                                                </v>
          </cell>
          <cell r="E272" t="str">
            <v>Espècies escollides segons la regió i el sól on us trobeu. </v>
          </cell>
          <cell r="F272" t="str">
            <v>.</v>
          </cell>
          <cell r="G272">
            <v>573</v>
          </cell>
        </row>
        <row r="273">
          <cell r="A273" t="str">
            <v>arbre gran</v>
          </cell>
          <cell r="B273" t="str">
            <v>Plantació d'arbres gran</v>
          </cell>
          <cell r="C273" t="str">
            <v>ut</v>
          </cell>
          <cell r="D273" t="str">
            <v>Subministrament i plantació d'arbre planifoli amb pa de terra o contenidor, de 18 a 20 cm de perímetre de tronc a 1,5 m d'alçària (a partir del coll de l'arrel), excavació de clot de plantació de 100x100x60 cm amb mitjans mecànics, en un pendent inferior al 25 %, reblert del clot amb terra de l'excavació barrejada amb un 10% de compost sobre llit de grava de 10cm i primer reg.  (el preu no inclou la terra vegetal ni la grava)                                                        </v>
          </cell>
          <cell r="E273" t="str">
            <v>Espècies escollides segons la regió i el sól on us trobeu. </v>
          </cell>
          <cell r="F273" t="str">
            <v>.</v>
          </cell>
          <cell r="G273">
            <v>440</v>
          </cell>
        </row>
        <row r="274">
          <cell r="A274" t="str">
            <v>arbust mitjà</v>
          </cell>
          <cell r="B274" t="str">
            <v>Plantació d'arbust de port mitjà</v>
          </cell>
          <cell r="C274" t="str">
            <v>ut</v>
          </cell>
          <cell r="D274" t="str">
            <v>Subministrament i plantació d'arbust o arbre de petit format en contenidor de 3 a 5 l, excavació de clot de plantació de 30x30x30 cm amb mitjans manuals, en un pendent inferior al 35 %, reblert del clot amb terra de l'excavació barrejada amb un 10% de compost sobre llit de grava de 10cm i primer reg.    (el preu no inclou la terra vegetal ni la grava)                           </v>
          </cell>
          <cell r="E274" t="str">
            <v>Espècies escollides segons la regió i el sól on us trobeu.</v>
          </cell>
          <cell r="F274" t="str">
            <v>.</v>
          </cell>
          <cell r="G274">
            <v>26</v>
          </cell>
        </row>
        <row r="275">
          <cell r="A275" t="str">
            <v>arbust petit</v>
          </cell>
          <cell r="B275" t="str">
            <v>Plantació d'arbust de port petit</v>
          </cell>
          <cell r="C275" t="str">
            <v>ut</v>
          </cell>
          <cell r="D275" t="str">
            <v>Subministrament i plantació d'arbust o arbre de petit format en contenidor d'1,5 a 3 l, excavació de clot de plantació de 25x25x25 cm amb mitjans manuals, en un pendent inferior al 35 %, reblert del clot amb terra de l'excavació barrejada amb un 10% de compost sobre llit de grava de 10cm i primer reg.   (el preu no inclou la terra vegetal ni la grava)                            </v>
          </cell>
          <cell r="E275" t="str">
            <v>Espècies escollides segons la regió i el sól on us trobeu.</v>
          </cell>
          <cell r="F275" t="str">
            <v>.</v>
          </cell>
          <cell r="G275">
            <v>18.4</v>
          </cell>
        </row>
        <row r="276">
          <cell r="A276" t="str">
            <v>enfiladissa</v>
          </cell>
          <cell r="B276" t="str">
            <v>Plantació d'enfiladissa de port mitjà</v>
          </cell>
          <cell r="C276" t="str">
            <v>ut</v>
          </cell>
          <cell r="D276" t="str">
            <v>Subministrament i plantació d'enfiladissa en contenidor de 3 a 5l, excavació de clot de plantació de 25x25x25 cm amb mitjans manuals, en un pendent inferior al 35 %, reblert del clot amb terra de l'excavació barrejada amb un 10% de compost sobre llit de grava de 10cm i primer reg.        (el preu no inclou la terra vegetal ni la grava)                       </v>
          </cell>
          <cell r="E276" t="str">
            <v>Espècies escollides segons la regió i el sól on us trobeu.</v>
          </cell>
          <cell r="F276" t="str">
            <v>.</v>
          </cell>
          <cell r="G276">
            <v>42</v>
          </cell>
        </row>
        <row r="277">
          <cell r="A277" t="str">
            <v>grava 4/7</v>
          </cell>
          <cell r="B277" t="str">
            <v>Grava de pedrera de pedra granítica, Ø40/70 mm</v>
          </cell>
          <cell r="C277" t="str">
            <v>m3</v>
          </cell>
          <cell r="D277" t="str">
            <v>Aportació i estesa de grava de pedrera de pedra granítica, Ø40/70 mm subministrada amb big bag i estesa amb mitjans manuals.</v>
          </cell>
          <cell r="E277" t="str">
            <v>.</v>
          </cell>
          <cell r="F277" t="str">
            <v>.</v>
          </cell>
          <cell r="G277">
            <v>45.7</v>
          </cell>
        </row>
        <row r="278">
          <cell r="A278" t="str">
            <v>canonada aigua</v>
          </cell>
          <cell r="B278" t="str">
            <v>Tub PE 40 25mm</v>
          </cell>
          <cell r="C278" t="str">
            <v>m</v>
          </cell>
          <cell r="D278" t="str">
            <v>Subministrament i instal.lació de tub de polietilè de designació PE 40, de 25 mm de diàmetre nominal, de 6 bar de pressió nominal, sèrie SDR 11, UNE-EN 12201-2, connectat a pressió, amb grau de dificultat mig, utilitzant accessoris de plàstic, i col·locat al fons de la rasa. Inclou excavació en terra d'argila semidura fins a 50cm de profunditat. Inclou reomplert amb graves. (no inlclou el subministrament de les graves)</v>
          </cell>
          <cell r="E278" t="str">
            <v>.</v>
          </cell>
          <cell r="F278" t="str">
            <v>..</v>
          </cell>
          <cell r="G278">
            <v>18.345</v>
          </cell>
        </row>
        <row r="279">
          <cell r="A279" t="str">
            <v>gota gota</v>
          </cell>
          <cell r="B279" t="str">
            <v>Degoteig</v>
          </cell>
          <cell r="C279" t="str">
            <v>m</v>
          </cell>
          <cell r="D279" t="str">
            <v>Subministrament, col.locació i soterrament de canonada per a reg per degoteig TECH-LINE o equivalent, amb degoters autocompensats integrats de 2,3 l/h a una distància de 30 cm, entre ells, de diàmetre 16 mm. Inclou accessoris i la fixació i soterrament a 10-15 cm. sota les geleves de gespa. Inclou exavació en terra d'argila semidura fins a 50cm de profunditat. Inclou reomplert amb graves envoltades amb làmina drenant.</v>
          </cell>
          <cell r="E279" t="str">
            <v>.</v>
          </cell>
          <cell r="F279" t="str">
            <v>.</v>
          </cell>
          <cell r="G279">
            <v>21.15</v>
          </cell>
        </row>
        <row r="280">
          <cell r="A280" t="str">
            <v>arqueta</v>
          </cell>
          <cell r="B280" t="str">
            <v>Arqueta</v>
          </cell>
          <cell r="C280" t="str">
            <v>ut</v>
          </cell>
          <cell r="D280" t="str">
            <v>Subministrament i instal·lació d'arqueta negra rectangualar amb tapa verda i cargol. L50,5 x An37 x Al30,5.</v>
          </cell>
          <cell r="E280" t="str">
            <v>.</v>
          </cell>
          <cell r="F280" t="str">
            <v>.</v>
          </cell>
          <cell r="G280">
            <v>77.45</v>
          </cell>
        </row>
        <row r="281">
          <cell r="A281" t="str">
            <v>programador</v>
          </cell>
          <cell r="B281" t="str">
            <v>Programador</v>
          </cell>
          <cell r="C281" t="str">
            <v>ut</v>
          </cell>
          <cell r="D281" t="str">
            <v>Subministrament i instal.lació dins d'arqueta de programador de reg Rain Bird wpx dvf kit o equivalent. Alimentació autononma de 9V DC i 1 estació de sortida, inclòs connexió i programat.</v>
          </cell>
        </row>
        <row r="281">
          <cell r="F281" t="str">
            <v>.</v>
          </cell>
          <cell r="G281">
            <v>222.39</v>
          </cell>
        </row>
        <row r="282">
          <cell r="A282" t="str">
            <v>filtre</v>
          </cell>
          <cell r="B282" t="str">
            <v>Filtre</v>
          </cell>
          <cell r="C282" t="str">
            <v>ut</v>
          </cell>
          <cell r="D282" t="str">
            <v>Subministrament i instal·lació dins arqueta de filtre regulador de presó de 3/4" RBY. Presió de sortida 2,0 bars i malla de 75 micres. Model PRF075RBY de Rain Brid o equivalent.</v>
          </cell>
          <cell r="E282" t="str">
            <v>.</v>
          </cell>
          <cell r="F282" t="str">
            <v>.</v>
          </cell>
          <cell r="G282">
            <v>45.18</v>
          </cell>
        </row>
        <row r="283">
          <cell r="A283" t="str">
            <v>ouera</v>
          </cell>
          <cell r="B283" t="str">
            <v>Làmina de drenatge tipus ouera</v>
          </cell>
          <cell r="C283" t="str">
            <v>m2</v>
          </cell>
          <cell r="D283" t="str">
            <v>Subministrament i instal.lació de làmina de derenatge i retenció d'aigua resistent a la pressió fabricada amb poliolefina reciclada amb perforacions a la part superior.</v>
          </cell>
          <cell r="E283" t="str">
            <v>.</v>
          </cell>
          <cell r="F283" t="str">
            <v>.</v>
          </cell>
          <cell r="G283">
            <v>8</v>
          </cell>
        </row>
        <row r="285">
          <cell r="A285" t="str">
            <v>geotèxtil orgànic</v>
          </cell>
          <cell r="B285" t="str">
            <v>Manta orgànica biodegradable</v>
          </cell>
          <cell r="C285" t="str">
            <v>m2</v>
          </cell>
          <cell r="D285" t="str">
            <v>Manta orgànica biodegradable elaborada amb fibres naturals de coco 100%. </v>
          </cell>
          <cell r="E285" t="str">
            <v>.</v>
          </cell>
          <cell r="F285" t="str">
            <v>.</v>
          </cell>
          <cell r="G285">
            <v>8.07</v>
          </cell>
        </row>
        <row r="289">
          <cell r="A289" t="str">
            <v>CRITERIS AMIDAMENTS</v>
          </cell>
        </row>
        <row r="291">
          <cell r="A291" t="str">
            <v>POU DE DRENATGE</v>
          </cell>
          <cell r="B291" t="str">
            <v>EN COMPTEM 1 MÍN, I S'AFEGEIX A PARTIDA DE RESIDUS</v>
          </cell>
        </row>
        <row r="292">
          <cell r="A292" t="str">
            <v>GRUIXOS </v>
          </cell>
          <cell r="B292" t="str">
            <v>AMB LÍMIT TRAVESSA + TRONC: 20cm (grava/sorra)</v>
          </cell>
        </row>
        <row r="293">
          <cell r="A293" t="str">
            <v>PLANTES</v>
          </cell>
          <cell r="B293" t="str">
            <v>VA RELACIONAT AMB la PARTIDA DE TERRES VEGETALS</v>
          </cell>
        </row>
        <row r="294">
          <cell r="B294" t="str">
            <v>si és jardinera NO JUGBABLE:  port mitjà 4u/M2 i port petit 3u/m2</v>
          </cell>
        </row>
        <row r="295">
          <cell r="B295" t="str">
            <v>si és jardinera JUGABLE abaixem les u/m2</v>
          </cell>
        </row>
        <row r="296">
          <cell r="A296" t="str">
            <v>GRAVA REG</v>
          </cell>
          <cell r="B296" t="str">
            <v>AFEGIM GRAVA  RELACIONAT AMB TUB DE REG, I H. 0,05CM</v>
          </cell>
        </row>
        <row r="297">
          <cell r="A297" t="str">
            <v>OUERA</v>
          </cell>
          <cell r="B297" t="str">
            <v>AFEGIM OUERA PER JARDINERES I CONTRA MUR</v>
          </cell>
        </row>
      </sheetData>
      <sheetData sheetId="1"/>
      <sheetData sheetId="2"/>
      <sheetData sheetId="3"/>
      <sheetData sheetId="4"/>
      <sheetData sheetId="5"/>
      <sheetData sheetId="6">
        <row r="14">
          <cell r="A14" t="str">
            <v>Mà d'obra</v>
          </cell>
        </row>
        <row r="15">
          <cell r="A15" t="str">
            <v>Oficial 1ª lampista </v>
          </cell>
        </row>
        <row r="15">
          <cell r="C15">
            <v>32</v>
          </cell>
          <cell r="D15" t="str">
            <v>h</v>
          </cell>
        </row>
        <row r="16">
          <cell r="A16" t="str">
            <v>Ajudant construcció d'obra civil</v>
          </cell>
        </row>
        <row r="16">
          <cell r="C16">
            <v>27.39</v>
          </cell>
          <cell r="D16" t="str">
            <v>h</v>
          </cell>
        </row>
        <row r="17">
          <cell r="A17" t="str">
            <v>Peó especialitzat construcció</v>
          </cell>
        </row>
        <row r="17">
          <cell r="C17">
            <v>26.64</v>
          </cell>
          <cell r="D17" t="str">
            <v>h</v>
          </cell>
        </row>
        <row r="18">
          <cell r="A18" t="str">
            <v>Peó ordinari construcció</v>
          </cell>
        </row>
        <row r="18">
          <cell r="C18">
            <v>25.8</v>
          </cell>
          <cell r="D18" t="str">
            <v>h</v>
          </cell>
        </row>
        <row r="19">
          <cell r="A19" t="str">
            <v>Oficial 1ª construcció</v>
          </cell>
        </row>
        <row r="19">
          <cell r="C19">
            <v>30.79</v>
          </cell>
          <cell r="D19" t="str">
            <v>h</v>
          </cell>
        </row>
        <row r="20">
          <cell r="A20" t="str">
            <v>Oficial 1ª muntador d'estructura metàl·lica</v>
          </cell>
        </row>
        <row r="20">
          <cell r="C20">
            <v>30.76</v>
          </cell>
          <cell r="D20" t="str">
            <v>h</v>
          </cell>
        </row>
        <row r="21">
          <cell r="A21" t="str">
            <v>Ajudant muntador d'estructura metàl·lica</v>
          </cell>
        </row>
        <row r="21">
          <cell r="C21">
            <v>27.36</v>
          </cell>
          <cell r="D21" t="str">
            <v>h</v>
          </cell>
        </row>
        <row r="22">
          <cell r="A22" t="str">
            <v>Ajudant ferrallista</v>
          </cell>
        </row>
        <row r="22">
          <cell r="C22">
            <v>27.36</v>
          </cell>
          <cell r="D22" t="str">
            <v>h</v>
          </cell>
        </row>
        <row r="23">
          <cell r="A23" t="str">
            <v>Oficial 1ª ferrallista</v>
          </cell>
        </row>
        <row r="23">
          <cell r="C23">
            <v>30.76</v>
          </cell>
          <cell r="D23" t="str">
            <v>h</v>
          </cell>
        </row>
        <row r="24">
          <cell r="A24" t="str">
            <v>Oficial 1ª muntador de tancaments industrials</v>
          </cell>
        </row>
        <row r="24">
          <cell r="C24">
            <v>31.79</v>
          </cell>
          <cell r="D24" t="str">
            <v>h</v>
          </cell>
        </row>
        <row r="25">
          <cell r="A25" t="str">
            <v>Ajudant muntador de tancaments industrials</v>
          </cell>
        </row>
        <row r="25">
          <cell r="C25">
            <v>27.39</v>
          </cell>
          <cell r="D25" t="str">
            <v>h</v>
          </cell>
        </row>
        <row r="26">
          <cell r="A26" t="str">
            <v>Oficial 1ª lampista</v>
          </cell>
        </row>
        <row r="26">
          <cell r="C26">
            <v>31.79</v>
          </cell>
          <cell r="D26" t="str">
            <v>h</v>
          </cell>
        </row>
        <row r="27">
          <cell r="A27" t="str">
            <v>Ajudant lampista</v>
          </cell>
        </row>
        <row r="27">
          <cell r="C27">
            <v>27.36</v>
          </cell>
          <cell r="D27" t="str">
            <v>h</v>
          </cell>
        </row>
        <row r="28">
          <cell r="A28" t="str">
            <v>Oficial 1ª serraller</v>
          </cell>
        </row>
        <row r="28">
          <cell r="C28">
            <v>31.27</v>
          </cell>
          <cell r="D28" t="str">
            <v>h</v>
          </cell>
        </row>
        <row r="29">
          <cell r="A29" t="str">
            <v>Ajudant serraller</v>
          </cell>
        </row>
        <row r="29">
          <cell r="C29">
            <v>27.48</v>
          </cell>
          <cell r="D29" t="str">
            <v>h</v>
          </cell>
        </row>
        <row r="30">
          <cell r="A30" t="str">
            <v>Oficial 1ª electricista</v>
          </cell>
        </row>
        <row r="30">
          <cell r="C30">
            <v>31.79</v>
          </cell>
          <cell r="D30" t="str">
            <v>h</v>
          </cell>
        </row>
        <row r="31">
          <cell r="A31" t="str">
            <v>Ajudant electricista</v>
          </cell>
        </row>
        <row r="31">
          <cell r="C31">
            <v>27.36</v>
          </cell>
          <cell r="D31" t="str">
            <v>h</v>
          </cell>
        </row>
        <row r="32">
          <cell r="A32" t="str">
            <v>Oficial 1ª pintor</v>
          </cell>
        </row>
        <row r="32">
          <cell r="C32">
            <v>30.59</v>
          </cell>
          <cell r="D32" t="str">
            <v>h</v>
          </cell>
        </row>
        <row r="33">
          <cell r="A33" t="str">
            <v>Oficial 1ª fuster</v>
          </cell>
        </row>
        <row r="33">
          <cell r="C33">
            <v>30.76</v>
          </cell>
          <cell r="D33" t="str">
            <v>h</v>
          </cell>
        </row>
        <row r="34">
          <cell r="A34" t="str">
            <v>Oficial 1ª jardiner</v>
          </cell>
        </row>
        <row r="34">
          <cell r="C34">
            <v>30.76</v>
          </cell>
          <cell r="D34" t="str">
            <v>h</v>
          </cell>
        </row>
        <row r="36">
          <cell r="A36" t="str">
            <v>Equip i maquinària</v>
          </cell>
        </row>
        <row r="37">
          <cell r="A37" t="str">
            <v>Martell pneumàtic</v>
          </cell>
        </row>
        <row r="37">
          <cell r="C37">
            <v>4.57</v>
          </cell>
          <cell r="D37" t="str">
            <v>h</v>
          </cell>
        </row>
        <row r="38">
          <cell r="A38" t="str">
            <v>Compressor portàtil elèctric 2m3/min de cabal</v>
          </cell>
        </row>
        <row r="38">
          <cell r="C38">
            <v>4.27</v>
          </cell>
          <cell r="D38" t="str">
            <v>h</v>
          </cell>
        </row>
        <row r="39">
          <cell r="A39" t="str">
            <v>Talladora de paviment</v>
          </cell>
        </row>
        <row r="39">
          <cell r="C39">
            <v>42.15</v>
          </cell>
          <cell r="D39" t="str">
            <v>h</v>
          </cell>
        </row>
        <row r="40">
          <cell r="A40" t="str">
            <v>Equip i elements auxiliars per soldadura elèctrica</v>
          </cell>
        </row>
        <row r="40">
          <cell r="C40">
            <v>3.42</v>
          </cell>
          <cell r="D40" t="str">
            <v>h</v>
          </cell>
        </row>
        <row r="41">
          <cell r="A41" t="str">
            <v>Mini pala carregadora sobre pneumàtics, de 52 kW/1 m³ kW</v>
          </cell>
        </row>
        <row r="41">
          <cell r="C41">
            <v>36.8</v>
          </cell>
          <cell r="D41" t="str">
            <v>h</v>
          </cell>
        </row>
        <row r="42">
          <cell r="A42" t="str">
            <v>Picó vibrant de guiat manual, de 80 kg, amb placa de 30x30 cm, tipus piconadora de granota</v>
          </cell>
        </row>
        <row r="42">
          <cell r="C42">
            <v>3.92</v>
          </cell>
          <cell r="D42" t="str">
            <v>h</v>
          </cell>
        </row>
        <row r="43">
          <cell r="A43" t="str">
            <v>Camió cisterna, de 8 m³ de capacitat</v>
          </cell>
        </row>
        <row r="43">
          <cell r="C43">
            <v>121.25</v>
          </cell>
          <cell r="D43" t="str">
            <v>h</v>
          </cell>
        </row>
        <row r="44">
          <cell r="A44" t="str">
            <v>Dúmper de descàrrega frontal de 2 t de càrrega útil</v>
          </cell>
        </row>
        <row r="44">
          <cell r="C44">
            <v>10.58</v>
          </cell>
          <cell r="D44" t="str">
            <v>h</v>
          </cell>
        </row>
        <row r="45">
          <cell r="A45" t="str">
            <v>Compactadora tàndem autopropulsat, de 63 kW, de 9,65 t, amplada de treball 168 cm</v>
          </cell>
        </row>
        <row r="45">
          <cell r="C45">
            <v>45.83</v>
          </cell>
          <cell r="D45" t="str">
            <v>h</v>
          </cell>
        </row>
        <row r="46">
          <cell r="A46" t="str">
            <v>Regla vibrant de 3 m</v>
          </cell>
        </row>
        <row r="46">
          <cell r="C46">
            <v>5.23</v>
          </cell>
          <cell r="D46" t="str">
            <v>h</v>
          </cell>
        </row>
        <row r="47">
          <cell r="A47" t="str">
            <v>Arremolinadora mecànica de formigó</v>
          </cell>
        </row>
        <row r="47">
          <cell r="C47">
            <v>5.68</v>
          </cell>
          <cell r="D47" t="str">
            <v>h</v>
          </cell>
        </row>
        <row r="48">
          <cell r="A48" t="str">
            <v>Formigonera elèctrica amb una capacitat de pastat de 160 l.</v>
          </cell>
        </row>
        <row r="48">
          <cell r="C48">
            <v>3.45</v>
          </cell>
          <cell r="D48" t="str">
            <v>h</v>
          </cell>
        </row>
        <row r="49">
          <cell r="A49" t="str">
            <v>Mesclador continu amb sitja, per a morter industrial en sec, subministrat a granel.</v>
          </cell>
        </row>
        <row r="49">
          <cell r="C49">
            <v>1.94</v>
          </cell>
          <cell r="D49" t="str">
            <v>h</v>
          </cell>
        </row>
        <row r="51">
          <cell r="A51" t="str">
            <v>Maquinària. Retrocarregadora sobre pneumàtics, de 70 kW.</v>
          </cell>
        </row>
        <row r="51">
          <cell r="D51" t="str">
            <v>h</v>
          </cell>
        </row>
        <row r="52">
          <cell r="A52" t="str">
            <v>Retroexcavadora </v>
          </cell>
          <cell r="B52" t="str">
            <v>Retroexcavadora sobre pneumaics de 8 a 10 t</v>
          </cell>
          <cell r="C52">
            <v>90.97</v>
          </cell>
          <cell r="D52" t="str">
            <v>€/h</v>
          </cell>
        </row>
        <row r="54">
          <cell r="A54" t="str">
            <v>Materials</v>
          </cell>
        </row>
        <row r="55">
          <cell r="A55" t="str">
            <v>Acer laminat</v>
          </cell>
          <cell r="B55" t="str">
            <v>Acer laminat UNE-EN 10025 S275JR, en perfils laminats en calent, peces simples, per aplicacions estructurals, de les sèries IPN, IPE, HEB, HEA, HEM o UPN, acabat amb emprimació antioxidant. Treballat i muntat en taller, per a col·locar amb unions soldades en obra.</v>
          </cell>
          <cell r="C55">
            <v>1.54</v>
          </cell>
          <cell r="D55" t="str">
            <v>kg</v>
          </cell>
        </row>
        <row r="56">
          <cell r="A56" t="str">
            <v>Àrid reciclat</v>
          </cell>
          <cell r="B56" t="str">
            <v>Àrid reciclat de formigó, de granulometria compresa entre 40 i 80 mm, subministrat mitjançant camió.</v>
          </cell>
          <cell r="C56">
            <v>9.66</v>
          </cell>
          <cell r="D56" t="str">
            <v>t</v>
          </cell>
        </row>
        <row r="57">
          <cell r="A57" t="str">
            <v>Aigua</v>
          </cell>
        </row>
        <row r="57">
          <cell r="C57">
            <v>1.5</v>
          </cell>
          <cell r="D57" t="str">
            <v>m3</v>
          </cell>
        </row>
        <row r="58">
          <cell r="A58" t="str">
            <v>Grava 40/70</v>
          </cell>
          <cell r="B58" t="str">
            <v>Grava de pedrera de pedra granítica, de 40 a 70 mm de diàmetre</v>
          </cell>
          <cell r="C58">
            <v>22.39</v>
          </cell>
          <cell r="D58" t="str">
            <v>m3</v>
          </cell>
        </row>
        <row r="59">
          <cell r="A59" t="str">
            <v>Film impermeable de polietilè</v>
          </cell>
          <cell r="B59" t="str">
            <v>Film impermeable de polietilè de baixa densitat (LDPE) de 0,1 mm d'espessor i 100 g/m² de massa superficial, color negre.</v>
          </cell>
          <cell r="C59">
            <v>0.57</v>
          </cell>
          <cell r="D59" t="str">
            <v>m2</v>
          </cell>
        </row>
        <row r="60">
          <cell r="A60" t="str">
            <v>Malla electrosoldada 20x20 Ø 5</v>
          </cell>
          <cell r="B60" t="str">
            <v>Malla electrosoldada ME 20x20 Ø 5-5 B 500 T 6x2,20 UNE-EN 10080.</v>
          </cell>
          <cell r="C60">
            <v>2.52</v>
          </cell>
          <cell r="D60" t="str">
            <v>m2</v>
          </cell>
        </row>
        <row r="61">
          <cell r="A61" t="str">
            <v>Formigó HA-25/F/20/XC2, fabricat en central</v>
          </cell>
        </row>
        <row r="61">
          <cell r="C61">
            <v>92.2</v>
          </cell>
          <cell r="D61" t="str">
            <v>m3</v>
          </cell>
        </row>
        <row r="62">
          <cell r="A62" t="str">
            <v>Morter de ciment</v>
          </cell>
          <cell r="B62" t="str">
            <v>Morter de ciment CEM II/B-P 32,5 N tipus M-5, confeccionat en obra con 250 kg/m³ de ciment i una proporció en volum 1/6.</v>
          </cell>
          <cell r="C62">
            <v>115.3</v>
          </cell>
          <cell r="D62" t="str">
            <v>m3</v>
          </cell>
        </row>
        <row r="63">
          <cell r="A63" t="str">
            <v>Sorra 2mm</v>
          </cell>
          <cell r="B63" t="str">
            <v>Sorra natural, fina i seca, de 2 mm de grandària màxima, exempta de sals perjudicials, presentada en sacs.</v>
          </cell>
          <cell r="C63">
            <v>0.35</v>
          </cell>
          <cell r="D63" t="str">
            <v>kg</v>
          </cell>
        </row>
        <row r="64">
          <cell r="A64" t="str">
            <v>Sorra rentada</v>
          </cell>
          <cell r="B64" t="str">
            <v>Sorra de 0.2 a 2 mm de gruix rentada sense partícules de fang ni argiles</v>
          </cell>
          <cell r="C64">
            <v>42.55</v>
          </cell>
          <cell r="D64" t="str">
            <v>m3</v>
          </cell>
        </row>
        <row r="65">
          <cell r="A65" t="str">
            <v>Sauló</v>
          </cell>
          <cell r="B65" t="str">
            <v>Sorra granítica amb granulometria entre 0 i 7 mm. </v>
          </cell>
          <cell r="C65">
            <v>40.63</v>
          </cell>
          <cell r="D65" t="str">
            <v>m3</v>
          </cell>
        </row>
        <row r="66">
          <cell r="A66" t="str">
            <v>Terra primavera</v>
          </cell>
          <cell r="B66" t="str">
            <v>Terra barrejada amb una proporció aproximada de 45% argila, 45% sauló i un 10% de matèria orgànica per facilitar la plantació de vegetació</v>
          </cell>
          <cell r="C66">
            <v>22.5</v>
          </cell>
          <cell r="D66" t="str">
            <v>m3</v>
          </cell>
        </row>
        <row r="67">
          <cell r="A67" t="str">
            <v>Àrid ull de perdiu</v>
          </cell>
          <cell r="B67" t="str">
            <v>Àrid ull de perdiu, rentat,  de grandària màxima 40 a 80 mm i cares arrodonides</v>
          </cell>
          <cell r="C67">
            <v>36</v>
          </cell>
          <cell r="D67" t="str">
            <v>m3</v>
          </cell>
        </row>
        <row r="68">
          <cell r="A68" t="str">
            <v>Terra vegetal plantació</v>
          </cell>
          <cell r="B68" t="str">
            <v>Terra vegetal de jardineria de categoria mitja, amb una conductivitat elèctrica menor de 1,2 dS/m, segons NTJ 07A.</v>
          </cell>
          <cell r="C68">
            <v>105.33</v>
          </cell>
          <cell r="D68" t="str">
            <v>m3</v>
          </cell>
        </row>
        <row r="69">
          <cell r="A69" t="str">
            <v>Peça prefabricada de formigó 60x30</v>
          </cell>
          <cell r="B69" t="str">
            <v>Peces prefabricades de formigó abujardat, monocapa, per exteriors, 60x30x3 cm, color gris, classe resistent a flexió T, classe resistent segons la càrrega de ruptura 4, classe de desgast per abrasió H, segons UNE-EN 1339, amb resistència al lliscament Rd&gt;45 segons UNE-EN 16165 i lliscabilitat classe 3 segons CTE.</v>
          </cell>
          <cell r="C69">
            <v>18.35</v>
          </cell>
          <cell r="D69" t="str">
            <v>m2</v>
          </cell>
        </row>
        <row r="70">
          <cell r="A70" t="str">
            <v>Bloc buit de formigó</v>
          </cell>
          <cell r="B70" t="str">
            <v>Bloc buit de formigó, per revestir, color gris, 40x20x20 cm, categoria II, resistència normalitzada R10 (10 N/mm²), densitat 1150 kg/m³; amb el preu incrementat el 20% en concepte de peces especials: cèrcols i medis. Segons UNE-EN 771-3.</v>
          </cell>
          <cell r="C70">
            <v>0.91</v>
          </cell>
        </row>
        <row r="71">
          <cell r="B71" t="str">
            <v>Morter industrial per a obra de paleta, de ciment, color gris, categoria M-5 (resistència a compressió 5 N/mm²), subministrat a granel, segons UNE-EN 998-2.</v>
          </cell>
        </row>
        <row r="72">
          <cell r="A72" t="str">
            <v>Ferralla en barres corrugades</v>
          </cell>
          <cell r="B72" t="str">
            <v>Ferralla elaborada en taller industrial amb acer en barres corrugades, UNE-EN 10080 B 500 S, de varis diàmetres.</v>
          </cell>
        </row>
        <row r="73">
          <cell r="A73" t="str">
            <v>Tornilleria</v>
          </cell>
        </row>
        <row r="73">
          <cell r="D73" t="str">
            <v>kg</v>
          </cell>
        </row>
        <row r="74">
          <cell r="A74" t="str">
            <v>Frontisses</v>
          </cell>
        </row>
        <row r="75">
          <cell r="A75" t="str">
            <v>Biorotllo de fibra de coco </v>
          </cell>
          <cell r="B75" t="str">
            <v>Rotllo de fibra de coco d'alta densitat compactada i estructurada en una xarxa de polipropilè.  </v>
          </cell>
          <cell r="C75">
            <v>123</v>
          </cell>
          <cell r="D75" t="str">
            <v>ut</v>
          </cell>
        </row>
        <row r="76">
          <cell r="A76" t="str">
            <v>Pedra gran</v>
          </cell>
          <cell r="B76" t="str">
            <v>Pedra triada arrodonida d'aproximadament 80cm de diàmetre i 200kg.</v>
          </cell>
          <cell r="C76">
            <v>49</v>
          </cell>
          <cell r="D76" t="str">
            <v>ut</v>
          </cell>
        </row>
        <row r="77">
          <cell r="A77" t="str">
            <v>Pedra mitjana</v>
          </cell>
          <cell r="B77" t="str">
            <v>Pedra triada arrodonida d'aproximadament 30cm de diàmetre i 60kg.</v>
          </cell>
          <cell r="C77">
            <v>20</v>
          </cell>
          <cell r="D77" t="str">
            <v>ut</v>
          </cell>
        </row>
        <row r="78">
          <cell r="A78" t="str">
            <v>Pedres irregulars</v>
          </cell>
          <cell r="B78" t="str">
            <v>Peces irregulars d'entre 20 a 40 cm de diàmetres i d'entre 3 i 4 cm d'espessor per a formació de camins</v>
          </cell>
          <cell r="C78">
            <v>74.75</v>
          </cell>
          <cell r="D78" t="str">
            <v>m2</v>
          </cell>
        </row>
        <row r="79">
          <cell r="A79" t="str">
            <v>Tub PE 40 25mm</v>
          </cell>
          <cell r="B79" t="str">
            <v>Subministrament i instal.lació de tub de polietilè de designació PE 40, de 25 mm de diàmetre nominal, de 6 bar de pressió nominal, sèrie SDR 11, UNE-EN 12201-2, connectat a pressió, amb grau de dificultat mig, utilitzant accessoris de plàstic, i col·locat al fons de la rasa. Inclou excavació en terra d'argila semidura fins a 50cm de profunditat. Inclou reomplert amb graves. (no inlclou el subministrament de les graves)</v>
          </cell>
          <cell r="C79">
            <v>18.35</v>
          </cell>
          <cell r="D79" t="str">
            <v>m</v>
          </cell>
        </row>
        <row r="80">
          <cell r="A80" t="str">
            <v>Arqueta</v>
          </cell>
          <cell r="B80" t="str">
            <v>Arqueta negra rectangualar de polipropilé amb tapa verda i cargol. L50,5 x An37 x Al30,5.</v>
          </cell>
          <cell r="C80">
            <v>77.45</v>
          </cell>
          <cell r="D80" t="str">
            <v>ut</v>
          </cell>
        </row>
        <row r="81">
          <cell r="A81" t="str">
            <v>Tub corrugat</v>
          </cell>
          <cell r="B81" t="str">
            <v>Tub corrugat (túnel) de 80cm de diàmetre i 120cm de llargada </v>
          </cell>
          <cell r="C81">
            <v>120</v>
          </cell>
          <cell r="D81" t="str">
            <v>ut</v>
          </cell>
        </row>
        <row r="83">
          <cell r="A83" t="str">
            <v>Fusta</v>
          </cell>
        </row>
        <row r="85">
          <cell r="A85" t="str">
            <v>Llistó de pi de flandes 22x96mm</v>
          </cell>
          <cell r="B85" t="str">
            <v>Llistó de 22x96 mm de secció, de fusta de pi de flandes, tractada en autoclau, amb classe d'ús 4.</v>
          </cell>
          <cell r="C85">
            <v>2.7945</v>
          </cell>
          <cell r="D85" t="str">
            <v>m</v>
          </cell>
        </row>
        <row r="86">
          <cell r="A86" t="str">
            <v>Llistó de pi de flandes 93x44mm</v>
          </cell>
          <cell r="B86" t="str">
            <v>Llistó per rastrells de 93x44 mm de secció, de fusta de pi de  flandes, tractada en autoclau, amb classe d'ús 4.</v>
          </cell>
          <cell r="C86">
            <v>5.198</v>
          </cell>
          <cell r="D86" t="str">
            <v>m</v>
          </cell>
        </row>
        <row r="87">
          <cell r="A87" t="str">
            <v>Llistó de pi de flandes 40x40mm</v>
          </cell>
          <cell r="B87" t="str">
            <v>Llistó per rastrells de 40x40 mm de secció, de fusta de pi de  flandes, tractada en autoclau, amb classe d'ús 4.</v>
          </cell>
          <cell r="C87">
            <v>1.564</v>
          </cell>
          <cell r="D87" t="str">
            <v>m</v>
          </cell>
        </row>
        <row r="88">
          <cell r="A88" t="str">
            <v>Llistó de pi de flandes 69x44mm</v>
          </cell>
          <cell r="B88" t="str">
            <v>Llistó per rastrells de 69x44 mm de secció, de fusta de pi de flandes, tractada en autoclau, amb classe d'ús 4.</v>
          </cell>
          <cell r="C88">
            <v>4.071</v>
          </cell>
          <cell r="D88" t="str">
            <v>m</v>
          </cell>
        </row>
        <row r="89">
          <cell r="A89" t="str">
            <v>Llistó de pi de flandes 69x69mm</v>
          </cell>
          <cell r="B89" t="str">
            <v>Llistó de 69x69 mm de secció, de fusta de pi de flandes, tractada en autoclau, amb classe d'ús 4.</v>
          </cell>
          <cell r="C89">
            <v>5.02</v>
          </cell>
          <cell r="D89" t="str">
            <v>m</v>
          </cell>
        </row>
        <row r="90">
          <cell r="A90" t="str">
            <v>Travesses de pi tractades per exterior</v>
          </cell>
          <cell r="B90" t="str">
            <v>Travesses de pi de flandes tractades per exterior a autoclau</v>
          </cell>
          <cell r="C90">
            <v>12.88</v>
          </cell>
          <cell r="D90" t="str">
            <v>m</v>
          </cell>
        </row>
        <row r="91">
          <cell r="A91" t="str">
            <v>Panell carrosser</v>
          </cell>
          <cell r="B91" t="str">
            <v>Panell carrosser fenòlic (WBP) de contraxapat de fusta de bedoll d'alta qualitat.</v>
          </cell>
          <cell r="C91">
            <v>45.79</v>
          </cell>
          <cell r="D91" t="str">
            <v>m2</v>
          </cell>
        </row>
        <row r="92">
          <cell r="A92" t="str">
            <v>Tobogan H90 rotomoldeo</v>
          </cell>
          <cell r="B92" t="str">
            <v>Tobogan de polimer, moldejat segons rotomoldeo, d'alçada 90cm i amplària 66cm. Color taronja RAL 2010, 100% reciclat</v>
          </cell>
          <cell r="C92">
            <v>498.2835</v>
          </cell>
          <cell r="D92" t="str">
            <v>ut</v>
          </cell>
        </row>
        <row r="93">
          <cell r="A93" t="str">
            <v>Troncs acàcia </v>
          </cell>
          <cell r="B93" t="str">
            <v>Troncs d'acàcia polits i amb tractament oli per a exterior d'entre 14 i 24cm de diàmetre, col·locats horitzontal i verticalment sobre el terreny per a formació de perímetres i elements de joc. </v>
          </cell>
          <cell r="C93">
            <v>32.2</v>
          </cell>
          <cell r="D93" t="str">
            <v>m</v>
          </cell>
        </row>
        <row r="94">
          <cell r="A94" t="str">
            <v>Rampa de fusta de cedre</v>
          </cell>
          <cell r="B94" t="str">
            <v>Rampa de fusta de cedre de 120x40cm i 5cm de gruix.</v>
          </cell>
          <cell r="C94">
            <v>109.25</v>
          </cell>
          <cell r="D94" t="str">
            <v>ut</v>
          </cell>
        </row>
        <row r="95">
          <cell r="A95" t="str">
            <v>Font de tronc</v>
          </cell>
          <cell r="B95" t="str">
            <v>Font feta amb tronc de fusta d'acàcia  de 115cm d'alçada amb aixeta.</v>
          </cell>
          <cell r="C95">
            <v>350.75</v>
          </cell>
          <cell r="D95" t="str">
            <v>ut</v>
          </cell>
        </row>
        <row r="96">
          <cell r="A96" t="str">
            <v>Circuit d'aigua</v>
          </cell>
          <cell r="B96" t="str">
            <v>Circuit d'aigua per a exterior format per un conjunt de canals fetes amb troncs de fusta d'acàcia i dues plataformes de panell fenòlic de carrosser. </v>
          </cell>
          <cell r="C96">
            <v>1167.25</v>
          </cell>
          <cell r="D96" t="str">
            <v>ut</v>
          </cell>
        </row>
        <row r="97">
          <cell r="A97" t="str">
            <v>Tipi</v>
          </cell>
          <cell r="B97" t="str">
            <v>Cabana de fusta de lames de pi tractat per a exterior amb forma de tipi de sis costats.</v>
          </cell>
          <cell r="C97">
            <v>1608.85</v>
          </cell>
          <cell r="D97" t="str">
            <v>ut</v>
          </cell>
        </row>
        <row r="98">
          <cell r="A98" t="str">
            <v>Cabana ocell</v>
          </cell>
          <cell r="B98" t="str">
            <v>Cabana de fusta d'càcia en forma de niu d'ocell. </v>
          </cell>
          <cell r="C98">
            <v>1293.75</v>
          </cell>
          <cell r="D98" t="str">
            <v>ut</v>
          </cell>
        </row>
        <row r="99">
          <cell r="A99" t="str">
            <v>Estructura de troncs amb corda
</v>
          </cell>
          <cell r="B99" t="str">
            <v>Subministrament i instal·lació d'estructura de 4 troncs d'acàcia amb xarxa de corda. </v>
          </cell>
          <cell r="C99">
            <v>560</v>
          </cell>
          <cell r="D99" t="str">
            <v>ut</v>
          </cell>
        </row>
        <row r="100">
          <cell r="A100" t="str">
            <v>Cabana 2 aigues</v>
          </cell>
          <cell r="B100" t="str">
            <v>Cabana de fusta amb teulada a dues aigúes de lames de pi tractat per a exterior.</v>
          </cell>
          <cell r="C100">
            <v>967.15</v>
          </cell>
          <cell r="D100" t="str">
            <v>ut</v>
          </cell>
        </row>
        <row r="101">
          <cell r="A101" t="str">
            <v>Banc mig tronc</v>
          </cell>
          <cell r="B101" t="str">
            <v>Banc de troncs d'acàcia amb base de mig tronc de diàmetre entre 25 i 30cm.</v>
          </cell>
          <cell r="C101">
            <v>126</v>
          </cell>
          <cell r="D101" t="str">
            <v>ut</v>
          </cell>
        </row>
        <row r="102">
          <cell r="A102" t="str">
            <v>Pont mòbil</v>
          </cell>
          <cell r="B102" t="str">
            <v>Estructura de fusta amb una plataforma mòbil amb baranes de fusta i cordes.</v>
          </cell>
          <cell r="C102">
            <v>527.08</v>
          </cell>
          <cell r="D102" t="str">
            <v>ut</v>
          </cell>
        </row>
        <row r="104">
          <cell r="A104" t="str">
            <v>Vegetació</v>
          </cell>
        </row>
        <row r="106">
          <cell r="A106" t="str">
            <v>Arbre 18-20</v>
          </cell>
          <cell r="B106" t="str">
            <v>Arbre planifoli amb pa de terra o contenidor, de 18 a 20 cm de perímetre de tronc a 1,5 m d'alçària (a partir del coll de l'arrel)                                      </v>
          </cell>
          <cell r="C106">
            <v>380</v>
          </cell>
          <cell r="D106" t="str">
            <v>ut</v>
          </cell>
        </row>
        <row r="107">
          <cell r="A107" t="str">
            <v>Enfiladisses</v>
          </cell>
          <cell r="B107" t="str">
            <v>Enfiladissa en contenidor de 3 a 5l</v>
          </cell>
          <cell r="C107">
            <v>29</v>
          </cell>
          <cell r="D107" t="str">
            <v>ut</v>
          </cell>
        </row>
        <row r="108">
          <cell r="A108" t="str">
            <v>Arbust petit</v>
          </cell>
          <cell r="B108" t="str">
            <v>Arbust o arbre de petit format en contenidor d'1,5 a 3 l      </v>
          </cell>
          <cell r="C108">
            <v>7.95</v>
          </cell>
          <cell r="D108" t="str">
            <v>ut</v>
          </cell>
        </row>
        <row r="109">
          <cell r="A109" t="str">
            <v>Arbust mitjà</v>
          </cell>
          <cell r="B109" t="str">
            <v>Arbust o arbre de petit format en contenidor de 3 a 5 l            </v>
          </cell>
          <cell r="C109">
            <v>17.85</v>
          </cell>
          <cell r="D109" t="str">
            <v>ut</v>
          </cell>
        </row>
      </sheetData>
      <sheetData sheetId="7"/>
      <sheetData sheetId="8"/>
    </sheetDataSet>
  </externalBook>
</externalLink>
</file>

<file path=xl/theme/theme1.xml><?xml version="1.0" encoding="utf-8"?>
<a:theme xmlns:a="http://schemas.openxmlformats.org/drawingml/2006/main" xmlns:r="http://schemas.openxmlformats.org/officeDocument/2006/relationships" name="Office 2013: Tema 2022">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hyperlink" Target="https://maps.google.com/?q=407,+avenue+de+la+Tuilerie+%0D+40150+Hossegor+%0D+France&amp;entry=gmail&amp;source=g"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J333"/>
  <sheetViews>
    <sheetView showFormulas="false" showGridLines="true" showRowColHeaders="true" showZeros="true" rightToLeft="false" tabSelected="false" showOutlineSymbols="true" defaultGridColor="true" view="pageBreakPreview" topLeftCell="A1" colorId="64" zoomScale="100" zoomScaleNormal="85" zoomScalePageLayoutView="100" workbookViewId="0">
      <selection pane="topLeft" activeCell="G49" activeCellId="0" sqref="G49"/>
    </sheetView>
  </sheetViews>
  <sheetFormatPr defaultColWidth="8.5703125" defaultRowHeight="17.25" customHeight="true" zeroHeight="false" outlineLevelRow="0" outlineLevelCol="0"/>
  <cols>
    <col collapsed="false" customWidth="true" hidden="false" outlineLevel="0" max="1" min="1" style="1" width="29.57"/>
    <col collapsed="false" customWidth="true" hidden="false" outlineLevel="0" max="2" min="2" style="1" width="48.57"/>
    <col collapsed="false" customWidth="true" hidden="false" outlineLevel="0" max="3" min="3" style="1" width="6.43"/>
    <col collapsed="false" customWidth="true" hidden="false" outlineLevel="0" max="4" min="4" style="2" width="95.57"/>
    <col collapsed="false" customWidth="true" hidden="false" outlineLevel="0" max="5" min="5" style="1" width="61.57"/>
    <col collapsed="false" customWidth="true" hidden="false" outlineLevel="0" max="6" min="6" style="1" width="33.42"/>
    <col collapsed="false" customWidth="true" hidden="false" outlineLevel="0" max="7" min="7" style="3" width="19.57"/>
    <col collapsed="false" customWidth="false" hidden="false" outlineLevel="0" max="8" min="8" style="1" width="8.57"/>
    <col collapsed="false" customWidth="true" hidden="false" outlineLevel="0" max="1024" min="9" style="1" width="11.43"/>
  </cols>
  <sheetData>
    <row r="1" customFormat="false" ht="17.25" hidden="false" customHeight="false" outlineLevel="0" collapsed="false">
      <c r="A1" s="4"/>
      <c r="B1" s="4"/>
      <c r="C1" s="4"/>
      <c r="D1" s="5"/>
      <c r="E1" s="4"/>
      <c r="F1" s="4"/>
      <c r="G1" s="6"/>
      <c r="H1" s="7"/>
      <c r="I1" s="7"/>
      <c r="J1" s="7"/>
      <c r="K1" s="7"/>
      <c r="L1" s="7"/>
      <c r="M1" s="7"/>
      <c r="N1" s="7"/>
      <c r="O1" s="7"/>
      <c r="P1" s="7"/>
      <c r="Q1" s="7"/>
    </row>
    <row r="2" s="10" customFormat="true" ht="24.45" hidden="false" customHeight="false" outlineLevel="0" collapsed="false">
      <c r="A2" s="8" t="s">
        <v>0</v>
      </c>
      <c r="B2" s="8"/>
      <c r="C2" s="8"/>
      <c r="D2" s="8"/>
      <c r="E2" s="8"/>
      <c r="F2" s="8"/>
      <c r="G2" s="8"/>
      <c r="H2" s="9"/>
      <c r="I2" s="9"/>
      <c r="J2" s="9"/>
      <c r="K2" s="9"/>
      <c r="L2" s="9"/>
      <c r="M2" s="9"/>
      <c r="N2" s="9"/>
      <c r="O2" s="9"/>
      <c r="P2" s="9"/>
      <c r="Q2" s="9"/>
    </row>
    <row r="3" customFormat="false" ht="29.85" hidden="false" customHeight="false" outlineLevel="0" collapsed="false">
      <c r="A3" s="11" t="s">
        <v>1</v>
      </c>
      <c r="B3" s="12" t="s">
        <v>2</v>
      </c>
      <c r="C3" s="12" t="s">
        <v>3</v>
      </c>
      <c r="D3" s="13" t="s">
        <v>4</v>
      </c>
      <c r="E3" s="12" t="s">
        <v>5</v>
      </c>
      <c r="F3" s="12" t="s">
        <v>6</v>
      </c>
      <c r="G3" s="14" t="s">
        <v>7</v>
      </c>
      <c r="H3" s="7"/>
      <c r="I3" s="7"/>
      <c r="J3" s="7"/>
      <c r="K3" s="7"/>
      <c r="L3" s="7"/>
      <c r="M3" s="7"/>
      <c r="N3" s="7"/>
      <c r="O3" s="7"/>
      <c r="P3" s="7"/>
      <c r="Q3" s="7"/>
    </row>
    <row r="4" customFormat="false" ht="17.25" hidden="false" customHeight="false" outlineLevel="0" collapsed="false">
      <c r="A4" s="15"/>
      <c r="B4" s="15"/>
      <c r="C4" s="15"/>
      <c r="D4" s="15"/>
      <c r="E4" s="15"/>
      <c r="F4" s="15"/>
      <c r="G4" s="15"/>
      <c r="H4" s="7"/>
      <c r="I4" s="7"/>
      <c r="J4" s="7"/>
      <c r="K4" s="7"/>
      <c r="L4" s="7"/>
      <c r="M4" s="7"/>
      <c r="N4" s="7"/>
      <c r="O4" s="7"/>
      <c r="P4" s="7"/>
      <c r="Q4" s="7"/>
    </row>
    <row r="5" customFormat="false" ht="72.35" hidden="false" customHeight="false" outlineLevel="0" collapsed="false">
      <c r="A5" s="16" t="s">
        <v>8</v>
      </c>
      <c r="B5" s="17" t="s">
        <v>9</v>
      </c>
      <c r="C5" s="18" t="s">
        <v>10</v>
      </c>
      <c r="D5" s="19" t="s">
        <v>11</v>
      </c>
      <c r="E5" s="20" t="s">
        <v>12</v>
      </c>
      <c r="F5" s="18" t="s">
        <v>13</v>
      </c>
      <c r="G5" s="21" t="n">
        <v>270</v>
      </c>
      <c r="H5" s="7"/>
      <c r="I5" s="7"/>
      <c r="J5" s="7"/>
      <c r="K5" s="7"/>
      <c r="L5" s="7"/>
      <c r="M5" s="7"/>
      <c r="N5" s="7"/>
      <c r="O5" s="7"/>
      <c r="P5" s="7"/>
      <c r="Q5" s="7"/>
    </row>
    <row r="6" customFormat="false" ht="72.35" hidden="false" customHeight="false" outlineLevel="0" collapsed="false">
      <c r="A6" s="16" t="s">
        <v>14</v>
      </c>
      <c r="B6" s="17" t="s">
        <v>9</v>
      </c>
      <c r="C6" s="18" t="s">
        <v>10</v>
      </c>
      <c r="D6" s="19" t="s">
        <v>11</v>
      </c>
      <c r="E6" s="20" t="s">
        <v>15</v>
      </c>
      <c r="F6" s="18" t="s">
        <v>13</v>
      </c>
      <c r="G6" s="21" t="n">
        <v>1500</v>
      </c>
      <c r="H6" s="7"/>
      <c r="I6" s="7"/>
      <c r="J6" s="7"/>
      <c r="K6" s="7"/>
      <c r="L6" s="7"/>
      <c r="M6" s="7"/>
      <c r="N6" s="7"/>
      <c r="O6" s="7"/>
      <c r="P6" s="7"/>
      <c r="Q6" s="7"/>
    </row>
    <row r="7" customFormat="false" ht="58.2" hidden="false" customHeight="false" outlineLevel="0" collapsed="false">
      <c r="A7" s="22" t="s">
        <v>16</v>
      </c>
      <c r="B7" s="23" t="s">
        <v>17</v>
      </c>
      <c r="C7" s="24" t="s">
        <v>18</v>
      </c>
      <c r="D7" s="25" t="s">
        <v>19</v>
      </c>
      <c r="E7" s="26" t="s">
        <v>13</v>
      </c>
      <c r="F7" s="24" t="s">
        <v>13</v>
      </c>
      <c r="G7" s="27" t="n">
        <v>18.54</v>
      </c>
      <c r="H7" s="4"/>
      <c r="I7" s="4"/>
      <c r="J7" s="4"/>
      <c r="K7" s="4"/>
      <c r="L7" s="4"/>
      <c r="M7" s="4"/>
      <c r="N7" s="4"/>
      <c r="O7" s="4"/>
      <c r="P7" s="4"/>
      <c r="Q7" s="4"/>
    </row>
    <row r="8" customFormat="false" ht="17.25" hidden="false" customHeight="false" outlineLevel="0" collapsed="false">
      <c r="A8" s="22"/>
      <c r="B8" s="23"/>
      <c r="C8" s="24"/>
      <c r="D8" s="25"/>
      <c r="E8" s="26"/>
      <c r="F8" s="24"/>
      <c r="G8" s="27"/>
      <c r="H8" s="4"/>
      <c r="I8" s="4"/>
      <c r="J8" s="4"/>
      <c r="K8" s="4"/>
      <c r="L8" s="4"/>
      <c r="M8" s="4"/>
      <c r="N8" s="4"/>
      <c r="O8" s="4"/>
      <c r="P8" s="4"/>
      <c r="Q8" s="4"/>
    </row>
    <row r="9" customFormat="false" ht="58.2" hidden="false" customHeight="false" outlineLevel="0" collapsed="false">
      <c r="A9" s="22" t="s">
        <v>20</v>
      </c>
      <c r="B9" s="23" t="s">
        <v>21</v>
      </c>
      <c r="C9" s="24" t="s">
        <v>18</v>
      </c>
      <c r="D9" s="25" t="s">
        <v>22</v>
      </c>
      <c r="E9" s="26" t="s">
        <v>13</v>
      </c>
      <c r="F9" s="24" t="s">
        <v>13</v>
      </c>
      <c r="G9" s="27" t="n">
        <v>20.64</v>
      </c>
      <c r="H9" s="4"/>
      <c r="I9" s="4"/>
      <c r="J9" s="4"/>
      <c r="K9" s="4"/>
      <c r="L9" s="4"/>
      <c r="M9" s="4"/>
      <c r="N9" s="4"/>
      <c r="O9" s="4"/>
      <c r="P9" s="4"/>
      <c r="Q9" s="4"/>
    </row>
    <row r="10" customFormat="false" ht="24.45" hidden="false" customHeight="true" outlineLevel="0" collapsed="false">
      <c r="A10" s="28" t="s">
        <v>23</v>
      </c>
      <c r="B10" s="28"/>
      <c r="C10" s="28"/>
      <c r="D10" s="28"/>
      <c r="E10" s="28"/>
      <c r="F10" s="28"/>
      <c r="G10" s="28"/>
      <c r="H10" s="7"/>
      <c r="I10" s="7"/>
      <c r="J10" s="7"/>
      <c r="K10" s="7"/>
      <c r="L10" s="7"/>
      <c r="M10" s="7"/>
      <c r="N10" s="7"/>
      <c r="O10" s="7"/>
      <c r="P10" s="7"/>
      <c r="Q10" s="7"/>
    </row>
    <row r="11" customFormat="false" ht="44" hidden="false" customHeight="false" outlineLevel="0" collapsed="false">
      <c r="A11" s="22" t="s">
        <v>24</v>
      </c>
      <c r="B11" s="29" t="s">
        <v>24</v>
      </c>
      <c r="C11" s="24" t="s">
        <v>25</v>
      </c>
      <c r="D11" s="30" t="s">
        <v>26</v>
      </c>
      <c r="E11" s="26" t="s">
        <v>13</v>
      </c>
      <c r="F11" s="24" t="s">
        <v>13</v>
      </c>
      <c r="G11" s="27" t="n">
        <v>5.7</v>
      </c>
      <c r="H11" s="7" t="s">
        <v>27</v>
      </c>
      <c r="I11" s="7" t="s">
        <v>28</v>
      </c>
      <c r="J11" s="7"/>
      <c r="K11" s="7"/>
      <c r="L11" s="7"/>
      <c r="M11" s="7"/>
      <c r="N11" s="7"/>
      <c r="O11" s="7"/>
      <c r="P11" s="7"/>
      <c r="Q11" s="7"/>
    </row>
    <row r="12" customFormat="false" ht="44" hidden="false" customHeight="false" outlineLevel="0" collapsed="false">
      <c r="A12" s="22" t="s">
        <v>29</v>
      </c>
      <c r="B12" s="29" t="s">
        <v>30</v>
      </c>
      <c r="C12" s="24" t="s">
        <v>31</v>
      </c>
      <c r="D12" s="30" t="s">
        <v>32</v>
      </c>
      <c r="E12" s="26" t="s">
        <v>13</v>
      </c>
      <c r="F12" s="24" t="s">
        <v>13</v>
      </c>
      <c r="G12" s="27" t="n">
        <v>15</v>
      </c>
      <c r="H12" s="7"/>
      <c r="I12" s="7"/>
      <c r="J12" s="7"/>
      <c r="K12" s="7"/>
      <c r="L12" s="7"/>
      <c r="M12" s="7"/>
      <c r="N12" s="7"/>
      <c r="O12" s="7"/>
      <c r="P12" s="7"/>
      <c r="Q12" s="7"/>
    </row>
    <row r="13" customFormat="false" ht="44" hidden="false" customHeight="false" outlineLevel="0" collapsed="false">
      <c r="A13" s="22" t="s">
        <v>33</v>
      </c>
      <c r="B13" s="29" t="s">
        <v>34</v>
      </c>
      <c r="C13" s="24" t="s">
        <v>31</v>
      </c>
      <c r="D13" s="30" t="s">
        <v>35</v>
      </c>
      <c r="E13" s="26" t="s">
        <v>13</v>
      </c>
      <c r="F13" s="24" t="s">
        <v>13</v>
      </c>
      <c r="G13" s="27" t="n">
        <v>15</v>
      </c>
      <c r="H13" s="7"/>
      <c r="I13" s="7"/>
      <c r="J13" s="7"/>
      <c r="K13" s="7"/>
      <c r="L13" s="7"/>
      <c r="M13" s="7"/>
      <c r="N13" s="7"/>
      <c r="O13" s="7"/>
      <c r="P13" s="7"/>
      <c r="Q13" s="7"/>
    </row>
    <row r="14" customFormat="false" ht="72.35" hidden="false" customHeight="false" outlineLevel="0" collapsed="false">
      <c r="A14" s="22" t="s">
        <v>36</v>
      </c>
      <c r="B14" s="29" t="s">
        <v>37</v>
      </c>
      <c r="C14" s="24" t="s">
        <v>31</v>
      </c>
      <c r="D14" s="30" t="s">
        <v>38</v>
      </c>
      <c r="E14" s="26" t="s">
        <v>13</v>
      </c>
      <c r="F14" s="24" t="s">
        <v>13</v>
      </c>
      <c r="G14" s="27" t="n">
        <v>11.45</v>
      </c>
      <c r="H14" s="7" t="s">
        <v>39</v>
      </c>
      <c r="I14" s="31" t="s">
        <v>40</v>
      </c>
      <c r="J14" s="7"/>
      <c r="K14" s="7"/>
      <c r="L14" s="32" t="s">
        <v>41</v>
      </c>
      <c r="M14" s="7"/>
      <c r="N14" s="7"/>
      <c r="O14" s="7"/>
      <c r="P14" s="7"/>
      <c r="Q14" s="7"/>
    </row>
    <row r="15" customFormat="false" ht="29.85" hidden="false" customHeight="false" outlineLevel="0" collapsed="false">
      <c r="A15" s="22" t="s">
        <v>42</v>
      </c>
      <c r="B15" s="29" t="s">
        <v>43</v>
      </c>
      <c r="C15" s="24" t="s">
        <v>31</v>
      </c>
      <c r="D15" s="30" t="s">
        <v>44</v>
      </c>
      <c r="E15" s="26" t="s">
        <v>13</v>
      </c>
      <c r="F15" s="24" t="s">
        <v>13</v>
      </c>
      <c r="G15" s="27" t="n">
        <v>10.88</v>
      </c>
      <c r="H15" s="7"/>
      <c r="I15" s="7"/>
      <c r="J15" s="7"/>
      <c r="K15" s="7"/>
      <c r="L15" s="7"/>
      <c r="M15" s="7"/>
      <c r="N15" s="7"/>
      <c r="O15" s="7"/>
      <c r="P15" s="7"/>
      <c r="Q15" s="7"/>
    </row>
    <row r="16" customFormat="false" ht="44" hidden="false" customHeight="false" outlineLevel="0" collapsed="false">
      <c r="A16" s="22" t="s">
        <v>45</v>
      </c>
      <c r="B16" s="29" t="s">
        <v>46</v>
      </c>
      <c r="C16" s="24" t="s">
        <v>31</v>
      </c>
      <c r="D16" s="30" t="s">
        <v>47</v>
      </c>
      <c r="E16" s="26" t="s">
        <v>13</v>
      </c>
      <c r="F16" s="24" t="s">
        <v>13</v>
      </c>
      <c r="G16" s="27" t="n">
        <v>10.88</v>
      </c>
      <c r="H16" s="31" t="s">
        <v>48</v>
      </c>
      <c r="I16" s="7"/>
      <c r="J16" s="7"/>
      <c r="K16" s="7"/>
      <c r="L16" s="7"/>
      <c r="M16" s="7"/>
      <c r="N16" s="7"/>
      <c r="O16" s="7"/>
      <c r="P16" s="7"/>
      <c r="Q16" s="7"/>
    </row>
    <row r="17" customFormat="false" ht="44" hidden="false" customHeight="false" outlineLevel="0" collapsed="false">
      <c r="A17" s="22" t="s">
        <v>49</v>
      </c>
      <c r="B17" s="29" t="s">
        <v>50</v>
      </c>
      <c r="C17" s="24" t="s">
        <v>25</v>
      </c>
      <c r="D17" s="30" t="s">
        <v>51</v>
      </c>
      <c r="E17" s="26" t="s">
        <v>52</v>
      </c>
      <c r="F17" s="24"/>
      <c r="G17" s="27" t="n">
        <v>7.62</v>
      </c>
      <c r="H17" s="31" t="s">
        <v>53</v>
      </c>
      <c r="I17" s="7"/>
      <c r="J17" s="7"/>
      <c r="K17" s="7"/>
      <c r="L17" s="7"/>
      <c r="M17" s="7"/>
      <c r="N17" s="7"/>
      <c r="O17" s="7"/>
      <c r="P17" s="7"/>
      <c r="Q17" s="7"/>
    </row>
    <row r="18" customFormat="false" ht="44" hidden="false" customHeight="false" outlineLevel="0" collapsed="false">
      <c r="A18" s="22" t="s">
        <v>54</v>
      </c>
      <c r="B18" s="29" t="s">
        <v>55</v>
      </c>
      <c r="C18" s="24" t="s">
        <v>31</v>
      </c>
      <c r="D18" s="30" t="s">
        <v>56</v>
      </c>
      <c r="E18" s="26" t="s">
        <v>13</v>
      </c>
      <c r="F18" s="24"/>
      <c r="G18" s="27" t="n">
        <v>12.3</v>
      </c>
      <c r="H18" s="31" t="s">
        <v>53</v>
      </c>
      <c r="I18" s="7"/>
      <c r="J18" s="7"/>
      <c r="K18" s="7"/>
      <c r="L18" s="7"/>
      <c r="M18" s="7"/>
      <c r="N18" s="7"/>
      <c r="O18" s="7"/>
      <c r="P18" s="7"/>
      <c r="Q18" s="7"/>
    </row>
    <row r="19" customFormat="false" ht="29.85" hidden="false" customHeight="false" outlineLevel="0" collapsed="false">
      <c r="A19" s="22" t="s">
        <v>57</v>
      </c>
      <c r="B19" s="29" t="s">
        <v>58</v>
      </c>
      <c r="C19" s="24" t="s">
        <v>31</v>
      </c>
      <c r="D19" s="30" t="s">
        <v>59</v>
      </c>
      <c r="E19" s="26" t="s">
        <v>13</v>
      </c>
      <c r="F19" s="24"/>
      <c r="G19" s="27" t="n">
        <v>235.15</v>
      </c>
      <c r="H19" s="31" t="s">
        <v>53</v>
      </c>
      <c r="I19" s="7"/>
      <c r="J19" s="7"/>
      <c r="K19" s="7"/>
      <c r="L19" s="7"/>
      <c r="M19" s="7"/>
      <c r="N19" s="7"/>
      <c r="O19" s="7"/>
      <c r="P19" s="7"/>
      <c r="Q19" s="7"/>
    </row>
    <row r="20" customFormat="false" ht="29.85" hidden="false" customHeight="false" outlineLevel="0" collapsed="false">
      <c r="A20" s="22" t="s">
        <v>60</v>
      </c>
      <c r="B20" s="29" t="s">
        <v>61</v>
      </c>
      <c r="C20" s="24" t="s">
        <v>25</v>
      </c>
      <c r="D20" s="30" t="s">
        <v>62</v>
      </c>
      <c r="E20" s="26" t="s">
        <v>13</v>
      </c>
      <c r="F20" s="24"/>
      <c r="G20" s="27" t="n">
        <v>102</v>
      </c>
      <c r="H20" s="31"/>
      <c r="I20" s="7"/>
      <c r="J20" s="7"/>
      <c r="K20" s="7"/>
      <c r="L20" s="7"/>
      <c r="M20" s="7"/>
      <c r="N20" s="7"/>
      <c r="O20" s="7"/>
      <c r="P20" s="7"/>
      <c r="Q20" s="7"/>
    </row>
    <row r="21" customFormat="false" ht="44" hidden="false" customHeight="false" outlineLevel="0" collapsed="false">
      <c r="A21" s="22" t="s">
        <v>63</v>
      </c>
      <c r="B21" s="29" t="s">
        <v>64</v>
      </c>
      <c r="C21" s="24" t="s">
        <v>18</v>
      </c>
      <c r="D21" s="30" t="s">
        <v>65</v>
      </c>
      <c r="E21" s="26" t="s">
        <v>13</v>
      </c>
      <c r="F21" s="24"/>
      <c r="G21" s="33" t="n">
        <v>243.76</v>
      </c>
      <c r="H21" s="31"/>
      <c r="I21" s="7" t="n">
        <v>43.72</v>
      </c>
      <c r="J21" s="7" t="s">
        <v>66</v>
      </c>
      <c r="K21" s="7"/>
      <c r="L21" s="7"/>
      <c r="M21" s="7"/>
      <c r="N21" s="7"/>
      <c r="O21" s="7"/>
      <c r="P21" s="7"/>
      <c r="Q21" s="7"/>
    </row>
    <row r="22" customFormat="false" ht="24.45" hidden="false" customHeight="true" outlineLevel="0" collapsed="false">
      <c r="A22" s="28" t="s">
        <v>67</v>
      </c>
      <c r="B22" s="28"/>
      <c r="C22" s="28"/>
      <c r="D22" s="28"/>
      <c r="E22" s="28"/>
      <c r="F22" s="28"/>
      <c r="G22" s="28"/>
      <c r="H22" s="7"/>
      <c r="I22" s="7"/>
      <c r="J22" s="7"/>
      <c r="K22" s="7"/>
      <c r="L22" s="7"/>
      <c r="M22" s="7"/>
      <c r="N22" s="7"/>
      <c r="O22" s="7"/>
      <c r="P22" s="7"/>
      <c r="Q22" s="7"/>
    </row>
    <row r="23" customFormat="false" ht="29.85" hidden="false" customHeight="false" outlineLevel="0" collapsed="false">
      <c r="A23" s="22" t="s">
        <v>68</v>
      </c>
      <c r="B23" s="29" t="s">
        <v>69</v>
      </c>
      <c r="C23" s="24" t="s">
        <v>18</v>
      </c>
      <c r="D23" s="30" t="s">
        <v>70</v>
      </c>
      <c r="E23" s="26" t="s">
        <v>13</v>
      </c>
      <c r="F23" s="24" t="s">
        <v>13</v>
      </c>
      <c r="G23" s="27" t="n">
        <v>49</v>
      </c>
      <c r="H23" s="7"/>
      <c r="I23" s="7"/>
      <c r="J23" s="7"/>
      <c r="K23" s="7"/>
      <c r="L23" s="7"/>
      <c r="M23" s="7"/>
      <c r="N23" s="7"/>
      <c r="O23" s="7"/>
      <c r="P23" s="7"/>
      <c r="Q23" s="7"/>
    </row>
    <row r="24" s="34" customFormat="true" ht="58.2" hidden="false" customHeight="false" outlineLevel="0" collapsed="false">
      <c r="A24" s="22" t="s">
        <v>71</v>
      </c>
      <c r="B24" s="29" t="s">
        <v>72</v>
      </c>
      <c r="C24" s="24" t="s">
        <v>18</v>
      </c>
      <c r="D24" s="30" t="s">
        <v>73</v>
      </c>
      <c r="E24" s="26" t="s">
        <v>13</v>
      </c>
      <c r="F24" s="24" t="s">
        <v>13</v>
      </c>
      <c r="G24" s="27" t="n">
        <v>33.63</v>
      </c>
      <c r="H24" s="7" t="s">
        <v>74</v>
      </c>
      <c r="I24" s="7"/>
      <c r="J24" s="7"/>
      <c r="K24" s="7"/>
      <c r="L24" s="7"/>
      <c r="M24" s="7"/>
      <c r="N24" s="7"/>
      <c r="O24" s="7"/>
      <c r="P24" s="7"/>
      <c r="Q24" s="7"/>
    </row>
    <row r="25" customFormat="false" ht="58.2" hidden="false" customHeight="false" outlineLevel="0" collapsed="false">
      <c r="A25" s="22" t="s">
        <v>75</v>
      </c>
      <c r="B25" s="29" t="s">
        <v>76</v>
      </c>
      <c r="C25" s="24" t="s">
        <v>31</v>
      </c>
      <c r="D25" s="30" t="s">
        <v>77</v>
      </c>
      <c r="E25" s="26" t="s">
        <v>13</v>
      </c>
      <c r="F25" s="24" t="s">
        <v>13</v>
      </c>
      <c r="G25" s="27" t="n">
        <v>1.21</v>
      </c>
      <c r="H25" s="7"/>
      <c r="I25" s="7"/>
      <c r="J25" s="7"/>
      <c r="K25" s="7"/>
      <c r="L25" s="7"/>
      <c r="M25" s="7"/>
      <c r="N25" s="7"/>
      <c r="O25" s="7"/>
      <c r="P25" s="7"/>
      <c r="Q25" s="7"/>
    </row>
    <row r="26" customFormat="false" ht="24.45" hidden="false" customHeight="true" outlineLevel="0" collapsed="false">
      <c r="A26" s="28" t="s">
        <v>78</v>
      </c>
      <c r="B26" s="28"/>
      <c r="C26" s="28"/>
      <c r="D26" s="28"/>
      <c r="E26" s="28"/>
      <c r="F26" s="28"/>
      <c r="G26" s="28"/>
      <c r="H26" s="7"/>
      <c r="I26" s="7"/>
      <c r="J26" s="7"/>
      <c r="K26" s="7"/>
      <c r="L26" s="7"/>
      <c r="M26" s="7"/>
      <c r="N26" s="7"/>
      <c r="O26" s="7"/>
      <c r="P26" s="7"/>
      <c r="Q26" s="7"/>
    </row>
    <row r="27" customFormat="false" ht="29.85" hidden="false" customHeight="false" outlineLevel="0" collapsed="false">
      <c r="A27" s="22" t="s">
        <v>79</v>
      </c>
      <c r="B27" s="29" t="s">
        <v>80</v>
      </c>
      <c r="C27" s="24" t="s">
        <v>10</v>
      </c>
      <c r="D27" s="30" t="s">
        <v>81</v>
      </c>
      <c r="E27" s="26" t="s">
        <v>13</v>
      </c>
      <c r="F27" s="24" t="s">
        <v>13</v>
      </c>
      <c r="G27" s="27" t="n">
        <v>289</v>
      </c>
      <c r="H27" s="4"/>
      <c r="I27" s="4"/>
      <c r="J27" s="4"/>
      <c r="K27" s="4"/>
      <c r="L27" s="7"/>
      <c r="M27" s="7"/>
      <c r="N27" s="7"/>
      <c r="O27" s="7"/>
      <c r="P27" s="7"/>
      <c r="Q27" s="7"/>
    </row>
    <row r="28" s="34" customFormat="true" ht="114.9" hidden="false" customHeight="false" outlineLevel="0" collapsed="false">
      <c r="A28" s="22" t="s">
        <v>82</v>
      </c>
      <c r="B28" s="29" t="s">
        <v>83</v>
      </c>
      <c r="C28" s="24" t="s">
        <v>18</v>
      </c>
      <c r="D28" s="30" t="s">
        <v>84</v>
      </c>
      <c r="E28" s="26" t="s">
        <v>13</v>
      </c>
      <c r="F28" s="24" t="s">
        <v>13</v>
      </c>
      <c r="G28" s="27" t="n">
        <v>265</v>
      </c>
      <c r="H28" s="4"/>
      <c r="I28" s="4"/>
      <c r="J28" s="4"/>
      <c r="K28" s="4"/>
      <c r="L28" s="7"/>
      <c r="M28" s="7"/>
      <c r="N28" s="7"/>
      <c r="O28" s="7"/>
      <c r="P28" s="7"/>
      <c r="Q28" s="7"/>
    </row>
    <row r="29" s="34" customFormat="true" ht="58.2" hidden="false" customHeight="false" outlineLevel="0" collapsed="false">
      <c r="A29" s="22" t="s">
        <v>85</v>
      </c>
      <c r="B29" s="29" t="s">
        <v>86</v>
      </c>
      <c r="C29" s="24" t="s">
        <v>10</v>
      </c>
      <c r="D29" s="30" t="s">
        <v>87</v>
      </c>
      <c r="E29" s="26" t="s">
        <v>13</v>
      </c>
      <c r="F29" s="24" t="s">
        <v>13</v>
      </c>
      <c r="G29" s="27" t="n">
        <v>135.39</v>
      </c>
      <c r="H29" s="4"/>
      <c r="I29" s="4"/>
      <c r="J29" s="4"/>
      <c r="K29" s="4"/>
      <c r="L29" s="7"/>
      <c r="M29" s="7"/>
      <c r="N29" s="7"/>
      <c r="O29" s="7"/>
      <c r="P29" s="7"/>
      <c r="Q29" s="7"/>
    </row>
    <row r="30" customFormat="false" ht="17.25" hidden="false" customHeight="false" outlineLevel="0" collapsed="false">
      <c r="A30" s="22" t="s">
        <v>88</v>
      </c>
      <c r="B30" s="29" t="s">
        <v>89</v>
      </c>
      <c r="C30" s="24" t="s">
        <v>90</v>
      </c>
      <c r="D30" s="30" t="s">
        <v>91</v>
      </c>
      <c r="E30" s="26" t="s">
        <v>13</v>
      </c>
      <c r="F30" s="24" t="s">
        <v>13</v>
      </c>
      <c r="G30" s="27" t="n">
        <v>57.72</v>
      </c>
      <c r="H30" s="4"/>
      <c r="I30" s="4"/>
      <c r="J30" s="4"/>
      <c r="K30" s="4"/>
      <c r="L30" s="7"/>
      <c r="M30" s="7"/>
      <c r="N30" s="7"/>
      <c r="O30" s="7"/>
      <c r="P30" s="7"/>
      <c r="Q30" s="7"/>
    </row>
    <row r="31" customFormat="false" ht="44" hidden="false" customHeight="false" outlineLevel="0" collapsed="false">
      <c r="A31" s="22" t="s">
        <v>92</v>
      </c>
      <c r="B31" s="29" t="s">
        <v>93</v>
      </c>
      <c r="C31" s="24" t="s">
        <v>25</v>
      </c>
      <c r="D31" s="30" t="s">
        <v>94</v>
      </c>
      <c r="E31" s="26" t="s">
        <v>95</v>
      </c>
      <c r="F31" s="24" t="s">
        <v>13</v>
      </c>
      <c r="G31" s="27" t="n">
        <v>34.49</v>
      </c>
    </row>
    <row r="32" customFormat="false" ht="58.2" hidden="false" customHeight="false" outlineLevel="0" collapsed="false">
      <c r="A32" s="35" t="s">
        <v>96</v>
      </c>
      <c r="B32" s="36" t="s">
        <v>97</v>
      </c>
      <c r="C32" s="37" t="s">
        <v>18</v>
      </c>
      <c r="D32" s="38" t="s">
        <v>98</v>
      </c>
      <c r="E32" s="39" t="s">
        <v>13</v>
      </c>
      <c r="F32" s="37" t="s">
        <v>13</v>
      </c>
      <c r="G32" s="40" t="n">
        <v>791.4</v>
      </c>
      <c r="H32" s="4"/>
      <c r="I32" s="4"/>
      <c r="J32" s="4"/>
      <c r="K32" s="4"/>
      <c r="L32" s="7"/>
      <c r="M32" s="7"/>
      <c r="N32" s="7"/>
      <c r="O32" s="7"/>
      <c r="P32" s="7"/>
      <c r="Q32" s="7"/>
    </row>
    <row r="33" customFormat="false" ht="72.35" hidden="false" customHeight="false" outlineLevel="0" collapsed="false">
      <c r="A33" s="35" t="s">
        <v>99</v>
      </c>
      <c r="B33" s="36" t="s">
        <v>100</v>
      </c>
      <c r="C33" s="37" t="s">
        <v>31</v>
      </c>
      <c r="D33" s="38" t="s">
        <v>101</v>
      </c>
      <c r="E33" s="39" t="s">
        <v>13</v>
      </c>
      <c r="F33" s="37" t="s">
        <v>13</v>
      </c>
      <c r="G33" s="40" t="n">
        <v>33.22</v>
      </c>
      <c r="H33" s="4"/>
      <c r="I33" s="4"/>
      <c r="J33" s="4"/>
      <c r="K33" s="4"/>
      <c r="L33" s="7"/>
      <c r="M33" s="7"/>
      <c r="N33" s="7"/>
      <c r="O33" s="7"/>
      <c r="P33" s="7"/>
      <c r="Q33" s="7"/>
    </row>
    <row r="34" customFormat="false" ht="114.9" hidden="false" customHeight="false" outlineLevel="0" collapsed="false">
      <c r="A34" s="35" t="s">
        <v>102</v>
      </c>
      <c r="B34" s="36" t="s">
        <v>103</v>
      </c>
      <c r="C34" s="37" t="s">
        <v>18</v>
      </c>
      <c r="D34" s="38" t="s">
        <v>104</v>
      </c>
      <c r="E34" s="39" t="s">
        <v>105</v>
      </c>
      <c r="F34" s="37" t="s">
        <v>13</v>
      </c>
      <c r="G34" s="40" t="n">
        <f aca="false">501.1*1.5</f>
        <v>751.65</v>
      </c>
      <c r="H34" s="4" t="s">
        <v>106</v>
      </c>
      <c r="I34" s="4"/>
      <c r="J34" s="4"/>
      <c r="K34" s="4"/>
      <c r="L34" s="7"/>
      <c r="M34" s="7"/>
      <c r="N34" s="7"/>
      <c r="O34" s="7"/>
      <c r="P34" s="7"/>
      <c r="Q34" s="7"/>
    </row>
    <row r="35" s="34" customFormat="true" ht="143.25" hidden="false" customHeight="false" outlineLevel="0" collapsed="false">
      <c r="A35" s="35" t="s">
        <v>107</v>
      </c>
      <c r="B35" s="36" t="s">
        <v>108</v>
      </c>
      <c r="C35" s="37" t="s">
        <v>31</v>
      </c>
      <c r="D35" s="38" t="s">
        <v>109</v>
      </c>
      <c r="E35" s="39" t="s">
        <v>13</v>
      </c>
      <c r="F35" s="37" t="s">
        <v>13</v>
      </c>
      <c r="G35" s="40" t="n">
        <v>77</v>
      </c>
      <c r="H35" s="4" t="s">
        <v>110</v>
      </c>
      <c r="I35" s="4"/>
      <c r="J35" s="4"/>
      <c r="K35" s="4"/>
      <c r="L35" s="7"/>
      <c r="M35" s="7"/>
      <c r="N35" s="7"/>
      <c r="O35" s="7"/>
      <c r="P35" s="7"/>
      <c r="Q35" s="7"/>
    </row>
    <row r="36" customFormat="false" ht="114.9" hidden="false" customHeight="false" outlineLevel="0" collapsed="false">
      <c r="A36" s="35" t="s">
        <v>111</v>
      </c>
      <c r="B36" s="36" t="s">
        <v>112</v>
      </c>
      <c r="C36" s="37" t="s">
        <v>31</v>
      </c>
      <c r="D36" s="38" t="s">
        <v>113</v>
      </c>
      <c r="E36" s="39" t="s">
        <v>13</v>
      </c>
      <c r="F36" s="37" t="s">
        <v>13</v>
      </c>
      <c r="G36" s="40" t="n">
        <v>77</v>
      </c>
      <c r="H36" s="4" t="s">
        <v>110</v>
      </c>
      <c r="I36" s="4"/>
      <c r="J36" s="4"/>
      <c r="K36" s="4"/>
      <c r="L36" s="7"/>
      <c r="M36" s="7"/>
      <c r="N36" s="7"/>
      <c r="O36" s="7"/>
      <c r="P36" s="7"/>
      <c r="Q36" s="7"/>
    </row>
    <row r="37" customFormat="false" ht="100.7" hidden="false" customHeight="false" outlineLevel="0" collapsed="false">
      <c r="A37" s="35" t="s">
        <v>114</v>
      </c>
      <c r="B37" s="36" t="s">
        <v>115</v>
      </c>
      <c r="C37" s="37" t="s">
        <v>31</v>
      </c>
      <c r="D37" s="38" t="s">
        <v>116</v>
      </c>
      <c r="E37" s="39" t="s">
        <v>13</v>
      </c>
      <c r="F37" s="37" t="s">
        <v>13</v>
      </c>
      <c r="G37" s="40" t="n">
        <v>32</v>
      </c>
      <c r="H37" s="4" t="s">
        <v>110</v>
      </c>
      <c r="I37" s="4"/>
      <c r="J37" s="4"/>
      <c r="K37" s="4"/>
      <c r="L37" s="7"/>
      <c r="M37" s="7"/>
      <c r="N37" s="7"/>
      <c r="O37" s="7"/>
      <c r="P37" s="7"/>
      <c r="Q37" s="7"/>
    </row>
    <row r="38" s="34" customFormat="true" ht="86.55" hidden="false" customHeight="false" outlineLevel="0" collapsed="false">
      <c r="A38" s="35" t="s">
        <v>117</v>
      </c>
      <c r="B38" s="36" t="s">
        <v>118</v>
      </c>
      <c r="C38" s="37" t="s">
        <v>31</v>
      </c>
      <c r="D38" s="38" t="s">
        <v>119</v>
      </c>
      <c r="E38" s="39" t="s">
        <v>13</v>
      </c>
      <c r="F38" s="37" t="s">
        <v>13</v>
      </c>
      <c r="G38" s="40" t="n">
        <v>35.12</v>
      </c>
      <c r="H38" s="4"/>
      <c r="I38" s="4"/>
      <c r="J38" s="4"/>
      <c r="K38" s="7"/>
      <c r="L38" s="7"/>
      <c r="M38" s="7"/>
      <c r="N38" s="7"/>
      <c r="O38" s="7"/>
      <c r="P38" s="7"/>
      <c r="Q38" s="7"/>
    </row>
    <row r="39" customFormat="false" ht="72.35" hidden="false" customHeight="false" outlineLevel="0" collapsed="false">
      <c r="A39" s="35" t="s">
        <v>120</v>
      </c>
      <c r="B39" s="36" t="s">
        <v>121</v>
      </c>
      <c r="C39" s="37" t="s">
        <v>31</v>
      </c>
      <c r="D39" s="38" t="s">
        <v>122</v>
      </c>
      <c r="E39" s="39" t="s">
        <v>13</v>
      </c>
      <c r="F39" s="37" t="s">
        <v>13</v>
      </c>
      <c r="G39" s="40" t="n">
        <v>62.81</v>
      </c>
      <c r="H39" s="4" t="s">
        <v>110</v>
      </c>
      <c r="I39" s="4"/>
      <c r="J39" s="4"/>
      <c r="K39" s="7"/>
      <c r="L39" s="7"/>
      <c r="M39" s="7"/>
      <c r="N39" s="7"/>
      <c r="O39" s="7"/>
      <c r="P39" s="7"/>
      <c r="Q39" s="7"/>
    </row>
    <row r="40" customFormat="false" ht="44" hidden="false" customHeight="false" outlineLevel="0" collapsed="false">
      <c r="A40" s="35" t="s">
        <v>123</v>
      </c>
      <c r="B40" s="36" t="s">
        <v>124</v>
      </c>
      <c r="C40" s="37" t="s">
        <v>31</v>
      </c>
      <c r="D40" s="38" t="s">
        <v>125</v>
      </c>
      <c r="E40" s="39" t="s">
        <v>13</v>
      </c>
      <c r="F40" s="37" t="s">
        <v>13</v>
      </c>
      <c r="G40" s="40" t="n">
        <f aca="false">7.8*1.5</f>
        <v>11.7</v>
      </c>
      <c r="H40" s="41"/>
      <c r="I40" s="41"/>
      <c r="J40" s="41" t="s">
        <v>126</v>
      </c>
      <c r="K40" s="7"/>
      <c r="L40" s="7"/>
      <c r="M40" s="7"/>
      <c r="N40" s="7"/>
      <c r="O40" s="7"/>
      <c r="P40" s="7"/>
      <c r="Q40" s="7"/>
    </row>
    <row r="41" s="43" customFormat="true" ht="51.75" hidden="false" customHeight="true" outlineLevel="0" collapsed="false">
      <c r="A41" s="35" t="s">
        <v>127</v>
      </c>
      <c r="B41" s="36" t="s">
        <v>128</v>
      </c>
      <c r="C41" s="37" t="s">
        <v>18</v>
      </c>
      <c r="D41" s="38" t="s">
        <v>129</v>
      </c>
      <c r="E41" s="39" t="s">
        <v>13</v>
      </c>
      <c r="F41" s="37" t="s">
        <v>13</v>
      </c>
      <c r="G41" s="40" t="n">
        <v>32.48</v>
      </c>
      <c r="H41" s="41"/>
      <c r="I41" s="41"/>
      <c r="J41" s="41"/>
      <c r="K41" s="42" t="s">
        <v>130</v>
      </c>
      <c r="L41" s="42" t="s">
        <v>131</v>
      </c>
      <c r="M41" s="7"/>
      <c r="N41" s="7"/>
      <c r="O41" s="7"/>
      <c r="P41" s="7"/>
      <c r="Q41" s="7"/>
    </row>
    <row r="42" customFormat="false" ht="44" hidden="false" customHeight="false" outlineLevel="0" collapsed="false">
      <c r="A42" s="35" t="s">
        <v>132</v>
      </c>
      <c r="B42" s="36" t="s">
        <v>133</v>
      </c>
      <c r="C42" s="37" t="s">
        <v>31</v>
      </c>
      <c r="D42" s="38" t="s">
        <v>134</v>
      </c>
      <c r="E42" s="39" t="s">
        <v>13</v>
      </c>
      <c r="F42" s="37" t="s">
        <v>13</v>
      </c>
      <c r="G42" s="40" t="n">
        <f aca="false">10.21*1.5</f>
        <v>15.315</v>
      </c>
      <c r="H42" s="41"/>
      <c r="I42" s="41"/>
      <c r="J42" s="41"/>
      <c r="K42" s="42" t="s">
        <v>130</v>
      </c>
      <c r="L42" s="42" t="s">
        <v>131</v>
      </c>
      <c r="M42" s="7"/>
      <c r="N42" s="7"/>
      <c r="O42" s="7"/>
      <c r="P42" s="7"/>
      <c r="Q42" s="7"/>
    </row>
    <row r="43" customFormat="false" ht="17.25" hidden="false" customHeight="false" outlineLevel="0" collapsed="false">
      <c r="A43" s="35" t="s">
        <v>135</v>
      </c>
      <c r="B43" s="36" t="s">
        <v>136</v>
      </c>
      <c r="C43" s="37" t="s">
        <v>31</v>
      </c>
      <c r="D43" s="38" t="s">
        <v>137</v>
      </c>
      <c r="E43" s="39" t="s">
        <v>13</v>
      </c>
      <c r="F43" s="37" t="s">
        <v>13</v>
      </c>
      <c r="G43" s="40" t="n">
        <v>2.3</v>
      </c>
      <c r="H43" s="41"/>
      <c r="I43" s="41"/>
      <c r="J43" s="41"/>
      <c r="K43" s="42" t="n">
        <v>39</v>
      </c>
      <c r="L43" s="42" t="n">
        <f aca="false">I61*J61*K43</f>
        <v>39</v>
      </c>
      <c r="M43" s="7"/>
      <c r="N43" s="7"/>
      <c r="O43" s="7"/>
      <c r="P43" s="7"/>
      <c r="Q43" s="7"/>
    </row>
    <row r="44" customFormat="false" ht="17.25" hidden="false" customHeight="false" outlineLevel="0" collapsed="false">
      <c r="A44" s="44"/>
      <c r="B44" s="45"/>
      <c r="C44" s="46"/>
      <c r="D44" s="47"/>
      <c r="E44" s="48"/>
      <c r="F44" s="46"/>
      <c r="G44" s="49"/>
      <c r="H44" s="41"/>
      <c r="I44" s="41"/>
      <c r="J44" s="41"/>
      <c r="K44" s="42"/>
      <c r="L44" s="42"/>
      <c r="M44" s="7"/>
      <c r="N44" s="7"/>
      <c r="O44" s="7"/>
      <c r="P44" s="7"/>
      <c r="Q44" s="7"/>
    </row>
    <row r="45" customFormat="false" ht="25.5" hidden="false" customHeight="true" outlineLevel="0" collapsed="false">
      <c r="A45" s="50" t="s">
        <v>138</v>
      </c>
      <c r="B45" s="50"/>
      <c r="C45" s="50"/>
      <c r="D45" s="50"/>
      <c r="E45" s="50"/>
      <c r="F45" s="50"/>
      <c r="G45" s="50"/>
      <c r="H45" s="7"/>
      <c r="I45" s="7"/>
      <c r="J45" s="7"/>
      <c r="K45" s="42" t="n">
        <v>39</v>
      </c>
      <c r="L45" s="42" t="e">
        <f aca="false">I60*J60*K45</f>
        <v>#VALUE!</v>
      </c>
      <c r="M45" s="4"/>
      <c r="N45" s="4"/>
      <c r="O45" s="4"/>
      <c r="P45" s="4"/>
      <c r="Q45" s="4"/>
    </row>
    <row r="46" s="34" customFormat="true" ht="44" hidden="false" customHeight="false" outlineLevel="0" collapsed="false">
      <c r="A46" s="51" t="s">
        <v>139</v>
      </c>
      <c r="B46" s="51" t="s">
        <v>140</v>
      </c>
      <c r="C46" s="52" t="s">
        <v>31</v>
      </c>
      <c r="D46" s="53" t="s">
        <v>141</v>
      </c>
      <c r="E46" s="54" t="s">
        <v>13</v>
      </c>
      <c r="F46" s="52" t="s">
        <v>13</v>
      </c>
      <c r="G46" s="55" t="n">
        <v>16.66</v>
      </c>
      <c r="H46" s="7"/>
      <c r="I46" s="7"/>
      <c r="J46" s="7"/>
      <c r="K46" s="56"/>
      <c r="L46" s="42" t="s">
        <v>130</v>
      </c>
      <c r="M46" s="4"/>
      <c r="N46" s="4"/>
      <c r="O46" s="4"/>
      <c r="P46" s="4"/>
      <c r="Q46" s="4"/>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c r="DA46" s="57"/>
      <c r="DB46" s="57"/>
      <c r="DC46" s="57"/>
      <c r="DD46" s="57"/>
      <c r="DE46" s="57"/>
      <c r="DF46" s="57"/>
      <c r="DG46" s="57"/>
      <c r="DH46" s="57"/>
      <c r="DI46" s="57"/>
      <c r="DJ46" s="57"/>
      <c r="DK46" s="57"/>
      <c r="DL46" s="57"/>
      <c r="DM46" s="57"/>
      <c r="DN46" s="57"/>
      <c r="DO46" s="57"/>
      <c r="DP46" s="57"/>
      <c r="DQ46" s="57"/>
      <c r="DR46" s="57"/>
      <c r="DS46" s="57"/>
      <c r="DT46" s="57"/>
      <c r="DU46" s="57"/>
      <c r="DV46" s="57"/>
      <c r="DW46" s="57"/>
      <c r="DX46" s="57"/>
      <c r="DY46" s="57"/>
      <c r="DZ46" s="57"/>
      <c r="EA46" s="57"/>
      <c r="EB46" s="57"/>
      <c r="EC46" s="57"/>
      <c r="ED46" s="57"/>
      <c r="EE46" s="57"/>
      <c r="EF46" s="57"/>
      <c r="EG46" s="57"/>
      <c r="EH46" s="57"/>
      <c r="EI46" s="57"/>
      <c r="EJ46" s="57"/>
      <c r="EK46" s="57"/>
      <c r="EL46" s="57"/>
      <c r="EM46" s="57"/>
      <c r="EN46" s="57"/>
      <c r="EO46" s="57"/>
      <c r="EP46" s="57"/>
      <c r="EQ46" s="57"/>
      <c r="ER46" s="57"/>
      <c r="ES46" s="57"/>
      <c r="ET46" s="57"/>
      <c r="EU46" s="57"/>
      <c r="EV46" s="57"/>
      <c r="EW46" s="57"/>
      <c r="EX46" s="57"/>
      <c r="EY46" s="57"/>
      <c r="EZ46" s="57"/>
      <c r="FA46" s="57"/>
      <c r="FB46" s="57"/>
      <c r="FC46" s="57"/>
      <c r="FD46" s="57"/>
      <c r="FE46" s="57"/>
      <c r="FF46" s="57"/>
      <c r="FG46" s="57"/>
      <c r="FH46" s="57"/>
      <c r="FI46" s="57"/>
      <c r="FJ46" s="57"/>
      <c r="FK46" s="57"/>
      <c r="FL46" s="57"/>
      <c r="FM46" s="57"/>
      <c r="FN46" s="57"/>
      <c r="FO46" s="57"/>
      <c r="FP46" s="57"/>
      <c r="FQ46" s="57"/>
      <c r="FR46" s="57"/>
      <c r="FS46" s="57"/>
      <c r="FT46" s="57"/>
      <c r="FU46" s="57"/>
      <c r="FV46" s="57"/>
      <c r="FW46" s="57"/>
      <c r="FX46" s="57"/>
      <c r="FY46" s="57"/>
      <c r="FZ46" s="57"/>
      <c r="GA46" s="57"/>
      <c r="GB46" s="57"/>
      <c r="GC46" s="57"/>
      <c r="GD46" s="57"/>
      <c r="GE46" s="57"/>
      <c r="GF46" s="57"/>
      <c r="GG46" s="57"/>
      <c r="GH46" s="57"/>
      <c r="GI46" s="57"/>
      <c r="GJ46" s="57"/>
      <c r="GK46" s="57"/>
      <c r="GL46" s="57"/>
      <c r="GM46" s="57"/>
      <c r="GN46" s="57"/>
      <c r="GO46" s="57"/>
      <c r="GP46" s="57"/>
      <c r="GQ46" s="57"/>
      <c r="GR46" s="57"/>
      <c r="GS46" s="57"/>
      <c r="GT46" s="57"/>
      <c r="GU46" s="57"/>
      <c r="GV46" s="57"/>
      <c r="GW46" s="57"/>
      <c r="GX46" s="57"/>
      <c r="GY46" s="57"/>
      <c r="GZ46" s="57"/>
      <c r="HA46" s="57"/>
      <c r="HB46" s="57"/>
      <c r="HC46" s="57"/>
      <c r="HD46" s="57"/>
      <c r="HE46" s="57"/>
      <c r="HF46" s="57"/>
      <c r="HG46" s="57"/>
      <c r="HH46" s="57"/>
      <c r="HI46" s="57"/>
      <c r="HJ46" s="57"/>
      <c r="HK46" s="57"/>
      <c r="HL46" s="57"/>
      <c r="HM46" s="57"/>
      <c r="HN46" s="57"/>
      <c r="HO46" s="57"/>
      <c r="HP46" s="57"/>
      <c r="HQ46" s="57"/>
      <c r="HR46" s="57"/>
      <c r="HS46" s="57"/>
      <c r="HT46" s="57"/>
      <c r="HU46" s="57"/>
      <c r="HV46" s="57"/>
      <c r="HW46" s="57"/>
      <c r="HX46" s="57"/>
      <c r="HY46" s="57"/>
      <c r="HZ46" s="57"/>
      <c r="IA46" s="57"/>
      <c r="IB46" s="57"/>
      <c r="IC46" s="57"/>
      <c r="ID46" s="57"/>
      <c r="IE46" s="57"/>
      <c r="IF46" s="57"/>
      <c r="IG46" s="57"/>
      <c r="IH46" s="57"/>
      <c r="II46" s="57"/>
      <c r="IJ46" s="57"/>
      <c r="IK46" s="57"/>
      <c r="IL46" s="57"/>
      <c r="IM46" s="57"/>
      <c r="IN46" s="57"/>
      <c r="IO46" s="57"/>
      <c r="IP46" s="57"/>
      <c r="IQ46" s="57"/>
      <c r="IR46" s="57"/>
      <c r="IS46" s="57"/>
      <c r="IT46" s="57"/>
      <c r="IU46" s="57"/>
      <c r="IV46" s="57"/>
      <c r="IW46" s="57"/>
      <c r="IX46" s="57"/>
      <c r="IY46" s="57"/>
      <c r="IZ46" s="57"/>
      <c r="JA46" s="57"/>
      <c r="JB46" s="57"/>
      <c r="JC46" s="57"/>
      <c r="JD46" s="57"/>
      <c r="JE46" s="57"/>
      <c r="JF46" s="57"/>
      <c r="JG46" s="57"/>
      <c r="JH46" s="57"/>
      <c r="JI46" s="57"/>
      <c r="JJ46" s="57"/>
      <c r="JK46" s="57"/>
      <c r="JL46" s="57"/>
      <c r="JM46" s="57"/>
      <c r="JN46" s="57"/>
      <c r="JO46" s="57"/>
      <c r="JP46" s="57"/>
      <c r="JQ46" s="57"/>
      <c r="JR46" s="57"/>
      <c r="JS46" s="57"/>
      <c r="JT46" s="57"/>
      <c r="JU46" s="57"/>
      <c r="JV46" s="57"/>
      <c r="JW46" s="57"/>
      <c r="JX46" s="57"/>
      <c r="JY46" s="57"/>
      <c r="JZ46" s="57"/>
      <c r="KA46" s="57"/>
      <c r="KB46" s="57"/>
      <c r="KC46" s="57"/>
      <c r="KD46" s="57"/>
      <c r="KE46" s="57"/>
      <c r="KF46" s="57"/>
      <c r="KG46" s="57"/>
      <c r="KH46" s="57"/>
      <c r="KI46" s="57"/>
      <c r="KJ46" s="57"/>
      <c r="KK46" s="57"/>
      <c r="KL46" s="57"/>
      <c r="KM46" s="57"/>
      <c r="KN46" s="57"/>
      <c r="KO46" s="57"/>
      <c r="KP46" s="57"/>
      <c r="KQ46" s="57"/>
      <c r="KR46" s="57"/>
      <c r="KS46" s="57"/>
      <c r="KT46" s="57"/>
      <c r="KU46" s="57"/>
      <c r="KV46" s="57"/>
      <c r="KW46" s="57"/>
      <c r="KX46" s="57"/>
      <c r="KY46" s="57"/>
      <c r="KZ46" s="57"/>
      <c r="LA46" s="57"/>
      <c r="LB46" s="57"/>
      <c r="LC46" s="57"/>
      <c r="LD46" s="57"/>
      <c r="LE46" s="57"/>
      <c r="LF46" s="57"/>
      <c r="LG46" s="57"/>
      <c r="LH46" s="57"/>
      <c r="LI46" s="57"/>
      <c r="LJ46" s="57"/>
      <c r="LK46" s="57"/>
      <c r="LL46" s="57"/>
      <c r="LM46" s="57"/>
      <c r="LN46" s="57"/>
      <c r="LO46" s="57"/>
      <c r="LP46" s="57"/>
      <c r="LQ46" s="57"/>
      <c r="LR46" s="57"/>
      <c r="LS46" s="57"/>
      <c r="LT46" s="57"/>
      <c r="LU46" s="57"/>
      <c r="LV46" s="57"/>
      <c r="LW46" s="57"/>
      <c r="LX46" s="57"/>
      <c r="LY46" s="57"/>
      <c r="LZ46" s="57"/>
      <c r="MA46" s="57"/>
      <c r="MB46" s="57"/>
      <c r="MC46" s="57"/>
      <c r="MD46" s="57"/>
      <c r="ME46" s="57"/>
      <c r="MF46" s="57"/>
      <c r="MG46" s="57"/>
      <c r="MH46" s="57"/>
      <c r="MI46" s="57"/>
      <c r="MJ46" s="57"/>
      <c r="MK46" s="57"/>
      <c r="ML46" s="57"/>
      <c r="MM46" s="57"/>
      <c r="MN46" s="57"/>
      <c r="MO46" s="57"/>
      <c r="MP46" s="57"/>
      <c r="MQ46" s="57"/>
      <c r="MR46" s="57"/>
      <c r="MS46" s="57"/>
      <c r="MT46" s="57"/>
      <c r="MU46" s="57"/>
      <c r="MV46" s="57"/>
      <c r="MW46" s="57"/>
      <c r="MX46" s="57"/>
      <c r="MY46" s="57"/>
      <c r="MZ46" s="57"/>
      <c r="NA46" s="57"/>
      <c r="NB46" s="57"/>
      <c r="NC46" s="57"/>
      <c r="ND46" s="57"/>
      <c r="NE46" s="57"/>
      <c r="NF46" s="57"/>
      <c r="NG46" s="57"/>
      <c r="NH46" s="57"/>
      <c r="NI46" s="57"/>
      <c r="NJ46" s="57"/>
      <c r="NK46" s="57"/>
      <c r="NL46" s="57"/>
      <c r="NM46" s="57"/>
      <c r="NN46" s="57"/>
      <c r="NO46" s="57"/>
      <c r="NP46" s="57"/>
      <c r="NQ46" s="57"/>
      <c r="NR46" s="57"/>
      <c r="NS46" s="57"/>
      <c r="NT46" s="57"/>
      <c r="NU46" s="57"/>
      <c r="NV46" s="57"/>
      <c r="NW46" s="57"/>
      <c r="NX46" s="57"/>
      <c r="NY46" s="57"/>
      <c r="NZ46" s="57"/>
      <c r="OA46" s="57"/>
      <c r="OB46" s="57"/>
      <c r="OC46" s="57"/>
      <c r="OD46" s="57"/>
      <c r="OE46" s="57"/>
      <c r="OF46" s="57"/>
      <c r="OG46" s="57"/>
      <c r="OH46" s="57"/>
      <c r="OI46" s="57"/>
      <c r="OJ46" s="57"/>
      <c r="OK46" s="57"/>
      <c r="OL46" s="57"/>
      <c r="OM46" s="57"/>
      <c r="ON46" s="57"/>
      <c r="OO46" s="57"/>
      <c r="OP46" s="57"/>
      <c r="OQ46" s="57"/>
      <c r="OR46" s="57"/>
      <c r="OS46" s="57"/>
      <c r="OT46" s="57"/>
      <c r="OU46" s="57"/>
      <c r="OV46" s="57"/>
      <c r="OW46" s="57"/>
      <c r="OX46" s="57"/>
      <c r="OY46" s="57"/>
      <c r="OZ46" s="57"/>
      <c r="PA46" s="57"/>
      <c r="PB46" s="57"/>
      <c r="PC46" s="57"/>
      <c r="PD46" s="57"/>
      <c r="PE46" s="57"/>
      <c r="PF46" s="57"/>
      <c r="PG46" s="57"/>
      <c r="PH46" s="57"/>
      <c r="PI46" s="57"/>
      <c r="PJ46" s="57"/>
      <c r="PK46" s="57"/>
      <c r="PL46" s="57"/>
      <c r="PM46" s="57"/>
      <c r="PN46" s="57"/>
      <c r="PO46" s="57"/>
      <c r="PP46" s="57"/>
      <c r="PQ46" s="57"/>
      <c r="PR46" s="57"/>
      <c r="PS46" s="57"/>
      <c r="PT46" s="57"/>
      <c r="PU46" s="57"/>
      <c r="PV46" s="57"/>
      <c r="PW46" s="57"/>
      <c r="PX46" s="57"/>
      <c r="PY46" s="57"/>
      <c r="PZ46" s="57"/>
      <c r="QA46" s="57"/>
      <c r="QB46" s="57"/>
      <c r="QC46" s="57"/>
      <c r="QD46" s="57"/>
      <c r="QE46" s="57"/>
      <c r="QF46" s="57"/>
      <c r="QG46" s="57"/>
      <c r="QH46" s="57"/>
      <c r="QI46" s="57"/>
      <c r="QJ46" s="57"/>
      <c r="QK46" s="57"/>
      <c r="QL46" s="57"/>
      <c r="QM46" s="57"/>
      <c r="QN46" s="57"/>
      <c r="QO46" s="57"/>
      <c r="QP46" s="57"/>
      <c r="QQ46" s="57"/>
      <c r="QR46" s="57"/>
      <c r="QS46" s="57"/>
      <c r="QT46" s="57"/>
      <c r="QU46" s="57"/>
      <c r="QV46" s="57"/>
      <c r="QW46" s="57"/>
      <c r="QX46" s="57"/>
      <c r="QY46" s="57"/>
      <c r="QZ46" s="57"/>
      <c r="RA46" s="57"/>
      <c r="RB46" s="57"/>
      <c r="RC46" s="57"/>
      <c r="RD46" s="57"/>
      <c r="RE46" s="57"/>
      <c r="RF46" s="57"/>
      <c r="RG46" s="57"/>
      <c r="RH46" s="57"/>
      <c r="RI46" s="57"/>
      <c r="RJ46" s="57"/>
      <c r="RK46" s="57"/>
      <c r="RL46" s="57"/>
      <c r="RM46" s="57"/>
      <c r="RN46" s="57"/>
      <c r="RO46" s="57"/>
      <c r="RP46" s="57"/>
      <c r="RQ46" s="57"/>
      <c r="RR46" s="57"/>
      <c r="RS46" s="57"/>
      <c r="RT46" s="57"/>
      <c r="RU46" s="57"/>
      <c r="RV46" s="57"/>
      <c r="RW46" s="57"/>
      <c r="RX46" s="57"/>
      <c r="RY46" s="57"/>
      <c r="RZ46" s="57"/>
      <c r="SA46" s="57"/>
      <c r="SB46" s="57"/>
      <c r="SC46" s="57"/>
      <c r="SD46" s="57"/>
      <c r="SE46" s="57"/>
      <c r="SF46" s="57"/>
      <c r="SG46" s="57"/>
      <c r="SH46" s="57"/>
      <c r="SI46" s="57"/>
      <c r="SJ46" s="57"/>
      <c r="SK46" s="57"/>
      <c r="SL46" s="57"/>
      <c r="SM46" s="57"/>
      <c r="SN46" s="57"/>
      <c r="SO46" s="57"/>
      <c r="SP46" s="57"/>
      <c r="SQ46" s="57"/>
      <c r="SR46" s="57"/>
      <c r="SS46" s="57"/>
      <c r="ST46" s="57"/>
      <c r="SU46" s="57"/>
      <c r="SV46" s="57"/>
      <c r="SW46" s="57"/>
      <c r="SX46" s="57"/>
      <c r="SY46" s="57"/>
      <c r="SZ46" s="57"/>
      <c r="TA46" s="57"/>
      <c r="TB46" s="57"/>
      <c r="TC46" s="57"/>
      <c r="TD46" s="57"/>
      <c r="TE46" s="57"/>
      <c r="TF46" s="57"/>
      <c r="TG46" s="57"/>
      <c r="TH46" s="57"/>
      <c r="TI46" s="57"/>
      <c r="TJ46" s="57"/>
      <c r="TK46" s="57"/>
      <c r="TL46" s="57"/>
      <c r="TM46" s="57"/>
      <c r="TN46" s="57"/>
      <c r="TO46" s="57"/>
      <c r="TP46" s="57"/>
      <c r="TQ46" s="57"/>
      <c r="TR46" s="57"/>
      <c r="TS46" s="57"/>
      <c r="TT46" s="57"/>
      <c r="TU46" s="57"/>
      <c r="TV46" s="57"/>
      <c r="TW46" s="57"/>
      <c r="TX46" s="57"/>
      <c r="TY46" s="57"/>
      <c r="TZ46" s="57"/>
      <c r="UA46" s="57"/>
      <c r="UB46" s="57"/>
      <c r="UC46" s="57"/>
      <c r="UD46" s="57"/>
      <c r="UE46" s="57"/>
      <c r="UF46" s="57"/>
      <c r="UG46" s="57"/>
      <c r="UH46" s="57"/>
      <c r="UI46" s="57"/>
      <c r="UJ46" s="57"/>
      <c r="UK46" s="57"/>
      <c r="UL46" s="57"/>
      <c r="UM46" s="57"/>
      <c r="UN46" s="57"/>
      <c r="UO46" s="57"/>
      <c r="UP46" s="57"/>
      <c r="UQ46" s="57"/>
      <c r="UR46" s="57"/>
      <c r="US46" s="57"/>
      <c r="UT46" s="57"/>
      <c r="UU46" s="57"/>
      <c r="UV46" s="57"/>
      <c r="UW46" s="57"/>
      <c r="UX46" s="57"/>
      <c r="UY46" s="57"/>
      <c r="UZ46" s="57"/>
      <c r="VA46" s="57"/>
      <c r="VB46" s="57"/>
      <c r="VC46" s="57"/>
      <c r="VD46" s="57"/>
      <c r="VE46" s="57"/>
      <c r="VF46" s="57"/>
      <c r="VG46" s="57"/>
      <c r="VH46" s="57"/>
      <c r="VI46" s="57"/>
      <c r="VJ46" s="57"/>
      <c r="VK46" s="57"/>
      <c r="VL46" s="57"/>
      <c r="VM46" s="57"/>
      <c r="VN46" s="57"/>
      <c r="VO46" s="57"/>
      <c r="VP46" s="57"/>
      <c r="VQ46" s="57"/>
      <c r="VR46" s="57"/>
      <c r="VS46" s="57"/>
      <c r="VT46" s="57"/>
      <c r="VU46" s="57"/>
      <c r="VV46" s="57"/>
      <c r="VW46" s="57"/>
      <c r="VX46" s="57"/>
      <c r="VY46" s="57"/>
      <c r="VZ46" s="57"/>
      <c r="WA46" s="57"/>
      <c r="WB46" s="57"/>
      <c r="WC46" s="57"/>
      <c r="WD46" s="57"/>
      <c r="WE46" s="57"/>
      <c r="WF46" s="57"/>
      <c r="WG46" s="57"/>
      <c r="WH46" s="57"/>
      <c r="WI46" s="57"/>
      <c r="WJ46" s="57"/>
      <c r="WK46" s="57"/>
      <c r="WL46" s="57"/>
      <c r="WM46" s="57"/>
      <c r="WN46" s="57"/>
      <c r="WO46" s="57"/>
      <c r="WP46" s="57"/>
      <c r="WQ46" s="57"/>
      <c r="WR46" s="57"/>
      <c r="WS46" s="57"/>
      <c r="WT46" s="57"/>
      <c r="WU46" s="57"/>
      <c r="WV46" s="57"/>
      <c r="WW46" s="57"/>
      <c r="WX46" s="57"/>
      <c r="WY46" s="57"/>
      <c r="WZ46" s="57"/>
      <c r="XA46" s="57"/>
      <c r="XB46" s="57"/>
      <c r="XC46" s="57"/>
      <c r="XD46" s="57"/>
      <c r="XE46" s="57"/>
      <c r="XF46" s="57"/>
      <c r="XG46" s="57"/>
      <c r="XH46" s="57"/>
      <c r="XI46" s="57"/>
      <c r="XJ46" s="57"/>
      <c r="XK46" s="57"/>
      <c r="XL46" s="57"/>
      <c r="XM46" s="57"/>
      <c r="XN46" s="57"/>
      <c r="XO46" s="57"/>
      <c r="XP46" s="57"/>
      <c r="XQ46" s="57"/>
      <c r="XR46" s="57"/>
      <c r="XS46" s="57"/>
      <c r="XT46" s="57"/>
      <c r="XU46" s="57"/>
      <c r="XV46" s="57"/>
      <c r="XW46" s="57"/>
      <c r="XX46" s="57"/>
      <c r="XY46" s="57"/>
      <c r="XZ46" s="57"/>
      <c r="YA46" s="57"/>
      <c r="YB46" s="57"/>
      <c r="YC46" s="57"/>
      <c r="YD46" s="57"/>
      <c r="YE46" s="57"/>
      <c r="YF46" s="57"/>
      <c r="YG46" s="57"/>
      <c r="YH46" s="57"/>
      <c r="YI46" s="57"/>
      <c r="YJ46" s="57"/>
      <c r="YK46" s="57"/>
      <c r="YL46" s="57"/>
      <c r="YM46" s="57"/>
      <c r="YN46" s="57"/>
      <c r="YO46" s="57"/>
      <c r="YP46" s="57"/>
      <c r="YQ46" s="57"/>
      <c r="YR46" s="57"/>
      <c r="YS46" s="57"/>
      <c r="YT46" s="57"/>
      <c r="YU46" s="57"/>
      <c r="YV46" s="57"/>
      <c r="YW46" s="57"/>
      <c r="YX46" s="57"/>
      <c r="YY46" s="57"/>
      <c r="YZ46" s="57"/>
      <c r="ZA46" s="57"/>
      <c r="ZB46" s="57"/>
      <c r="ZC46" s="57"/>
      <c r="ZD46" s="57"/>
      <c r="ZE46" s="57"/>
      <c r="ZF46" s="57"/>
      <c r="ZG46" s="57"/>
      <c r="ZH46" s="57"/>
      <c r="ZI46" s="57"/>
      <c r="ZJ46" s="57"/>
      <c r="ZK46" s="57"/>
      <c r="ZL46" s="57"/>
      <c r="ZM46" s="57"/>
      <c r="ZN46" s="57"/>
      <c r="ZO46" s="57"/>
      <c r="ZP46" s="57"/>
      <c r="ZQ46" s="57"/>
      <c r="ZR46" s="57"/>
      <c r="ZS46" s="57"/>
      <c r="ZT46" s="57"/>
      <c r="ZU46" s="57"/>
      <c r="ZV46" s="57"/>
      <c r="ZW46" s="57"/>
      <c r="ZX46" s="57"/>
      <c r="ZY46" s="57"/>
      <c r="ZZ46" s="57"/>
      <c r="AAA46" s="57"/>
      <c r="AAB46" s="57"/>
      <c r="AAC46" s="57"/>
      <c r="AAD46" s="57"/>
      <c r="AAE46" s="57"/>
      <c r="AAF46" s="57"/>
      <c r="AAG46" s="57"/>
      <c r="AAH46" s="57"/>
      <c r="AAI46" s="57"/>
      <c r="AAJ46" s="57"/>
      <c r="AAK46" s="57"/>
      <c r="AAL46" s="57"/>
      <c r="AAM46" s="57"/>
      <c r="AAN46" s="57"/>
      <c r="AAO46" s="57"/>
      <c r="AAP46" s="57"/>
      <c r="AAQ46" s="57"/>
      <c r="AAR46" s="57"/>
      <c r="AAS46" s="57"/>
      <c r="AAT46" s="57"/>
      <c r="AAU46" s="57"/>
      <c r="AAV46" s="57"/>
      <c r="AAW46" s="57"/>
      <c r="AAX46" s="57"/>
      <c r="AAY46" s="57"/>
      <c r="AAZ46" s="57"/>
      <c r="ABA46" s="57"/>
      <c r="ABB46" s="57"/>
      <c r="ABC46" s="57"/>
      <c r="ABD46" s="57"/>
      <c r="ABE46" s="57"/>
      <c r="ABF46" s="57"/>
      <c r="ABG46" s="57"/>
      <c r="ABH46" s="57"/>
      <c r="ABI46" s="57"/>
      <c r="ABJ46" s="57"/>
      <c r="ABK46" s="57"/>
      <c r="ABL46" s="57"/>
      <c r="ABM46" s="57"/>
      <c r="ABN46" s="57"/>
      <c r="ABO46" s="57"/>
      <c r="ABP46" s="57"/>
      <c r="ABQ46" s="57"/>
      <c r="ABR46" s="57"/>
      <c r="ABS46" s="57"/>
      <c r="ABT46" s="57"/>
      <c r="ABU46" s="57"/>
      <c r="ABV46" s="57"/>
      <c r="ABW46" s="57"/>
      <c r="ABX46" s="57"/>
      <c r="ABY46" s="57"/>
      <c r="ABZ46" s="57"/>
      <c r="ACA46" s="57"/>
      <c r="ACB46" s="57"/>
      <c r="ACC46" s="57"/>
      <c r="ACD46" s="57"/>
      <c r="ACE46" s="57"/>
      <c r="ACF46" s="57"/>
      <c r="ACG46" s="57"/>
      <c r="ACH46" s="57"/>
      <c r="ACI46" s="57"/>
      <c r="ACJ46" s="57"/>
      <c r="ACK46" s="57"/>
      <c r="ACL46" s="57"/>
      <c r="ACM46" s="57"/>
      <c r="ACN46" s="57"/>
      <c r="ACO46" s="57"/>
      <c r="ACP46" s="57"/>
      <c r="ACQ46" s="57"/>
      <c r="ACR46" s="57"/>
      <c r="ACS46" s="57"/>
      <c r="ACT46" s="57"/>
      <c r="ACU46" s="57"/>
      <c r="ACV46" s="57"/>
      <c r="ACW46" s="57"/>
      <c r="ACX46" s="57"/>
      <c r="ACY46" s="57"/>
      <c r="ACZ46" s="57"/>
      <c r="ADA46" s="57"/>
      <c r="ADB46" s="57"/>
      <c r="ADC46" s="57"/>
      <c r="ADD46" s="57"/>
      <c r="ADE46" s="57"/>
      <c r="ADF46" s="57"/>
      <c r="ADG46" s="57"/>
      <c r="ADH46" s="57"/>
      <c r="ADI46" s="57"/>
      <c r="ADJ46" s="57"/>
      <c r="ADK46" s="57"/>
      <c r="ADL46" s="57"/>
      <c r="ADM46" s="57"/>
      <c r="ADN46" s="57"/>
      <c r="ADO46" s="57"/>
      <c r="ADP46" s="57"/>
      <c r="ADQ46" s="57"/>
      <c r="ADR46" s="57"/>
      <c r="ADS46" s="57"/>
      <c r="ADT46" s="57"/>
      <c r="ADU46" s="57"/>
      <c r="ADV46" s="57"/>
      <c r="ADW46" s="57"/>
      <c r="ADX46" s="57"/>
      <c r="ADY46" s="57"/>
      <c r="ADZ46" s="57"/>
      <c r="AEA46" s="57"/>
      <c r="AEB46" s="57"/>
      <c r="AEC46" s="57"/>
      <c r="AED46" s="57"/>
      <c r="AEE46" s="57"/>
      <c r="AEF46" s="57"/>
      <c r="AEG46" s="57"/>
      <c r="AEH46" s="57"/>
      <c r="AEI46" s="57"/>
      <c r="AEJ46" s="57"/>
      <c r="AEK46" s="57"/>
      <c r="AEL46" s="57"/>
      <c r="AEM46" s="57"/>
      <c r="AEN46" s="57"/>
      <c r="AEO46" s="57"/>
      <c r="AEP46" s="57"/>
      <c r="AEQ46" s="57"/>
      <c r="AER46" s="57"/>
      <c r="AES46" s="57"/>
      <c r="AET46" s="57"/>
      <c r="AEU46" s="57"/>
      <c r="AEV46" s="57"/>
      <c r="AEW46" s="57"/>
      <c r="AEX46" s="57"/>
      <c r="AEY46" s="57"/>
      <c r="AEZ46" s="57"/>
      <c r="AFA46" s="57"/>
      <c r="AFB46" s="57"/>
      <c r="AFC46" s="57"/>
      <c r="AFD46" s="57"/>
      <c r="AFE46" s="57"/>
      <c r="AFF46" s="57"/>
      <c r="AFG46" s="57"/>
      <c r="AFH46" s="57"/>
      <c r="AFI46" s="57"/>
      <c r="AFJ46" s="57"/>
      <c r="AFK46" s="57"/>
      <c r="AFL46" s="57"/>
      <c r="AFM46" s="57"/>
      <c r="AFN46" s="57"/>
      <c r="AFO46" s="57"/>
      <c r="AFP46" s="57"/>
      <c r="AFQ46" s="57"/>
      <c r="AFR46" s="57"/>
      <c r="AFS46" s="57"/>
      <c r="AFT46" s="57"/>
      <c r="AFU46" s="57"/>
      <c r="AFV46" s="57"/>
      <c r="AFW46" s="57"/>
      <c r="AFX46" s="57"/>
      <c r="AFY46" s="57"/>
      <c r="AFZ46" s="57"/>
      <c r="AGA46" s="57"/>
      <c r="AGB46" s="57"/>
      <c r="AGC46" s="57"/>
      <c r="AGD46" s="57"/>
      <c r="AGE46" s="57"/>
      <c r="AGF46" s="57"/>
      <c r="AGG46" s="57"/>
      <c r="AGH46" s="57"/>
      <c r="AGI46" s="57"/>
      <c r="AGJ46" s="57"/>
      <c r="AGK46" s="57"/>
      <c r="AGL46" s="57"/>
      <c r="AGM46" s="57"/>
      <c r="AGN46" s="57"/>
      <c r="AGO46" s="57"/>
      <c r="AGP46" s="57"/>
      <c r="AGQ46" s="57"/>
      <c r="AGR46" s="57"/>
      <c r="AGS46" s="57"/>
      <c r="AGT46" s="57"/>
      <c r="AGU46" s="57"/>
      <c r="AGV46" s="57"/>
      <c r="AGW46" s="57"/>
      <c r="AGX46" s="57"/>
      <c r="AGY46" s="57"/>
      <c r="AGZ46" s="57"/>
      <c r="AHA46" s="57"/>
      <c r="AHB46" s="57"/>
      <c r="AHC46" s="57"/>
      <c r="AHD46" s="57"/>
      <c r="AHE46" s="57"/>
      <c r="AHF46" s="57"/>
      <c r="AHG46" s="57"/>
      <c r="AHH46" s="57"/>
      <c r="AHI46" s="57"/>
      <c r="AHJ46" s="57"/>
      <c r="AHK46" s="57"/>
      <c r="AHL46" s="57"/>
      <c r="AHM46" s="57"/>
      <c r="AHN46" s="57"/>
      <c r="AHO46" s="57"/>
      <c r="AHP46" s="57"/>
      <c r="AHQ46" s="57"/>
      <c r="AHR46" s="57"/>
      <c r="AHS46" s="57"/>
      <c r="AHT46" s="57"/>
      <c r="AHU46" s="57"/>
      <c r="AHV46" s="57"/>
      <c r="AHW46" s="57"/>
      <c r="AHX46" s="57"/>
      <c r="AHY46" s="57"/>
      <c r="AHZ46" s="57"/>
      <c r="AIA46" s="57"/>
      <c r="AIB46" s="57"/>
      <c r="AIC46" s="57"/>
      <c r="AID46" s="57"/>
      <c r="AIE46" s="57"/>
      <c r="AIF46" s="57"/>
      <c r="AIG46" s="57"/>
      <c r="AIH46" s="57"/>
      <c r="AII46" s="57"/>
      <c r="AIJ46" s="57"/>
      <c r="AIK46" s="57"/>
      <c r="AIL46" s="57"/>
      <c r="AIM46" s="57"/>
      <c r="AIN46" s="57"/>
      <c r="AIO46" s="57"/>
      <c r="AIP46" s="57"/>
      <c r="AIQ46" s="57"/>
      <c r="AIR46" s="57"/>
      <c r="AIS46" s="57"/>
      <c r="AIT46" s="57"/>
      <c r="AIU46" s="57"/>
      <c r="AIV46" s="57"/>
      <c r="AIW46" s="57"/>
      <c r="AIX46" s="57"/>
      <c r="AIY46" s="57"/>
      <c r="AIZ46" s="57"/>
      <c r="AJA46" s="57"/>
      <c r="AJB46" s="57"/>
      <c r="AJC46" s="57"/>
      <c r="AJD46" s="57"/>
      <c r="AJE46" s="57"/>
      <c r="AJF46" s="57"/>
      <c r="AJG46" s="57"/>
      <c r="AJH46" s="57"/>
      <c r="AJI46" s="57"/>
      <c r="AJJ46" s="57"/>
      <c r="AJK46" s="57"/>
      <c r="AJL46" s="57"/>
      <c r="AJM46" s="57"/>
      <c r="AJN46" s="57"/>
      <c r="AJO46" s="57"/>
      <c r="AJP46" s="57"/>
      <c r="AJQ46" s="57"/>
      <c r="AJR46" s="57"/>
      <c r="AJS46" s="57"/>
      <c r="AJT46" s="57"/>
      <c r="AJU46" s="57"/>
      <c r="AJV46" s="57"/>
      <c r="AJW46" s="57"/>
      <c r="AJX46" s="57"/>
      <c r="AJY46" s="57"/>
      <c r="AJZ46" s="57"/>
      <c r="AKA46" s="57"/>
      <c r="AKB46" s="57"/>
      <c r="AKC46" s="57"/>
      <c r="AKD46" s="57"/>
      <c r="AKE46" s="57"/>
      <c r="AKF46" s="57"/>
      <c r="AKG46" s="57"/>
      <c r="AKH46" s="57"/>
      <c r="AKI46" s="57"/>
      <c r="AKJ46" s="57"/>
      <c r="AKK46" s="57"/>
      <c r="AKL46" s="57"/>
      <c r="AKM46" s="57"/>
      <c r="AKN46" s="57"/>
      <c r="AKO46" s="57"/>
      <c r="AKP46" s="57"/>
      <c r="AKQ46" s="57"/>
      <c r="AKR46" s="57"/>
      <c r="AKS46" s="57"/>
      <c r="AKT46" s="57"/>
      <c r="AKU46" s="57"/>
      <c r="AKV46" s="57"/>
      <c r="AKW46" s="57"/>
      <c r="AKX46" s="57"/>
      <c r="AKY46" s="57"/>
      <c r="AKZ46" s="57"/>
      <c r="ALA46" s="57"/>
      <c r="ALB46" s="57"/>
      <c r="ALC46" s="57"/>
      <c r="ALD46" s="57"/>
      <c r="ALE46" s="57"/>
      <c r="ALF46" s="57"/>
      <c r="ALG46" s="57"/>
      <c r="ALH46" s="57"/>
      <c r="ALI46" s="57"/>
      <c r="ALJ46" s="57"/>
      <c r="ALK46" s="57"/>
      <c r="ALL46" s="57"/>
      <c r="ALM46" s="57"/>
      <c r="ALN46" s="57"/>
      <c r="ALO46" s="57"/>
      <c r="ALP46" s="57"/>
      <c r="ALQ46" s="57"/>
      <c r="ALR46" s="57"/>
      <c r="ALS46" s="57"/>
      <c r="ALT46" s="57"/>
      <c r="ALU46" s="57"/>
      <c r="ALV46" s="57"/>
      <c r="ALW46" s="57"/>
      <c r="ALX46" s="57"/>
      <c r="ALY46" s="57"/>
      <c r="ALZ46" s="57"/>
      <c r="AMA46" s="57"/>
      <c r="AMB46" s="57"/>
      <c r="AMC46" s="57"/>
      <c r="AMD46" s="57"/>
      <c r="AME46" s="57"/>
      <c r="AMF46" s="57"/>
      <c r="AMG46" s="57"/>
      <c r="AMH46" s="57"/>
      <c r="AMI46" s="57"/>
      <c r="AMJ46" s="57"/>
    </row>
    <row r="47" s="34" customFormat="true" ht="72.35" hidden="false" customHeight="false" outlineLevel="0" collapsed="false">
      <c r="A47" s="51" t="s">
        <v>142</v>
      </c>
      <c r="B47" s="51" t="s">
        <v>143</v>
      </c>
      <c r="C47" s="52" t="s">
        <v>31</v>
      </c>
      <c r="D47" s="53" t="s">
        <v>144</v>
      </c>
      <c r="E47" s="54" t="s">
        <v>13</v>
      </c>
      <c r="F47" s="52" t="s">
        <v>13</v>
      </c>
      <c r="G47" s="55" t="n">
        <v>7.29</v>
      </c>
      <c r="H47" s="7"/>
      <c r="I47" s="7"/>
      <c r="J47" s="7"/>
      <c r="K47" s="56"/>
      <c r="L47" s="42" t="s">
        <v>130</v>
      </c>
      <c r="M47" s="4"/>
      <c r="N47" s="4"/>
      <c r="O47" s="4"/>
      <c r="P47" s="4"/>
      <c r="Q47" s="4"/>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57"/>
      <c r="BM47" s="57"/>
      <c r="BN47" s="57"/>
      <c r="BO47" s="57"/>
      <c r="BP47" s="57"/>
      <c r="BQ47" s="57"/>
      <c r="BR47" s="57"/>
      <c r="BS47" s="57"/>
      <c r="BT47" s="57"/>
      <c r="BU47" s="57"/>
      <c r="BV47" s="57"/>
      <c r="BW47" s="57"/>
      <c r="BX47" s="57"/>
      <c r="BY47" s="57"/>
      <c r="BZ47" s="57"/>
      <c r="CA47" s="57"/>
      <c r="CB47" s="57"/>
      <c r="CC47" s="57"/>
      <c r="CD47" s="57"/>
      <c r="CE47" s="57"/>
      <c r="CF47" s="57"/>
      <c r="CG47" s="57"/>
      <c r="CH47" s="57"/>
      <c r="CI47" s="57"/>
      <c r="CJ47" s="57"/>
      <c r="CK47" s="57"/>
      <c r="CL47" s="57"/>
      <c r="CM47" s="57"/>
      <c r="CN47" s="57"/>
      <c r="CO47" s="57"/>
      <c r="CP47" s="57"/>
      <c r="CQ47" s="57"/>
      <c r="CR47" s="57"/>
      <c r="CS47" s="57"/>
      <c r="CT47" s="57"/>
      <c r="CU47" s="57"/>
      <c r="CV47" s="57"/>
      <c r="CW47" s="57"/>
      <c r="CX47" s="57"/>
      <c r="CY47" s="57"/>
      <c r="CZ47" s="57"/>
      <c r="DA47" s="57"/>
      <c r="DB47" s="57"/>
      <c r="DC47" s="57"/>
      <c r="DD47" s="57"/>
      <c r="DE47" s="57"/>
      <c r="DF47" s="57"/>
      <c r="DG47" s="57"/>
      <c r="DH47" s="57"/>
      <c r="DI47" s="57"/>
      <c r="DJ47" s="57"/>
      <c r="DK47" s="57"/>
      <c r="DL47" s="57"/>
      <c r="DM47" s="57"/>
      <c r="DN47" s="57"/>
      <c r="DO47" s="57"/>
      <c r="DP47" s="57"/>
      <c r="DQ47" s="57"/>
      <c r="DR47" s="57"/>
      <c r="DS47" s="57"/>
      <c r="DT47" s="57"/>
      <c r="DU47" s="57"/>
      <c r="DV47" s="57"/>
      <c r="DW47" s="57"/>
      <c r="DX47" s="57"/>
      <c r="DY47" s="57"/>
      <c r="DZ47" s="57"/>
      <c r="EA47" s="57"/>
      <c r="EB47" s="57"/>
      <c r="EC47" s="57"/>
      <c r="ED47" s="57"/>
      <c r="EE47" s="57"/>
      <c r="EF47" s="57"/>
      <c r="EG47" s="57"/>
      <c r="EH47" s="57"/>
      <c r="EI47" s="57"/>
      <c r="EJ47" s="57"/>
      <c r="EK47" s="57"/>
      <c r="EL47" s="57"/>
      <c r="EM47" s="57"/>
      <c r="EN47" s="57"/>
      <c r="EO47" s="57"/>
      <c r="EP47" s="57"/>
      <c r="EQ47" s="57"/>
      <c r="ER47" s="57"/>
      <c r="ES47" s="57"/>
      <c r="ET47" s="57"/>
      <c r="EU47" s="57"/>
      <c r="EV47" s="57"/>
      <c r="EW47" s="57"/>
      <c r="EX47" s="57"/>
      <c r="EY47" s="57"/>
      <c r="EZ47" s="57"/>
      <c r="FA47" s="57"/>
      <c r="FB47" s="57"/>
      <c r="FC47" s="57"/>
      <c r="FD47" s="57"/>
      <c r="FE47" s="57"/>
      <c r="FF47" s="57"/>
      <c r="FG47" s="57"/>
      <c r="FH47" s="57"/>
      <c r="FI47" s="57"/>
      <c r="FJ47" s="57"/>
      <c r="FK47" s="57"/>
      <c r="FL47" s="57"/>
      <c r="FM47" s="57"/>
      <c r="FN47" s="57"/>
      <c r="FO47" s="57"/>
      <c r="FP47" s="57"/>
      <c r="FQ47" s="57"/>
      <c r="FR47" s="57"/>
      <c r="FS47" s="57"/>
      <c r="FT47" s="57"/>
      <c r="FU47" s="57"/>
      <c r="FV47" s="57"/>
      <c r="FW47" s="57"/>
      <c r="FX47" s="57"/>
      <c r="FY47" s="57"/>
      <c r="FZ47" s="57"/>
      <c r="GA47" s="57"/>
      <c r="GB47" s="57"/>
      <c r="GC47" s="57"/>
      <c r="GD47" s="57"/>
      <c r="GE47" s="57"/>
      <c r="GF47" s="57"/>
      <c r="GG47" s="57"/>
      <c r="GH47" s="57"/>
      <c r="GI47" s="57"/>
      <c r="GJ47" s="57"/>
      <c r="GK47" s="57"/>
      <c r="GL47" s="57"/>
      <c r="GM47" s="57"/>
      <c r="GN47" s="57"/>
      <c r="GO47" s="57"/>
      <c r="GP47" s="57"/>
      <c r="GQ47" s="57"/>
      <c r="GR47" s="57"/>
      <c r="GS47" s="57"/>
      <c r="GT47" s="57"/>
      <c r="GU47" s="57"/>
      <c r="GV47" s="57"/>
      <c r="GW47" s="57"/>
      <c r="GX47" s="57"/>
      <c r="GY47" s="57"/>
      <c r="GZ47" s="57"/>
      <c r="HA47" s="57"/>
      <c r="HB47" s="57"/>
      <c r="HC47" s="57"/>
      <c r="HD47" s="57"/>
      <c r="HE47" s="57"/>
      <c r="HF47" s="57"/>
      <c r="HG47" s="57"/>
      <c r="HH47" s="57"/>
      <c r="HI47" s="57"/>
      <c r="HJ47" s="57"/>
      <c r="HK47" s="57"/>
      <c r="HL47" s="57"/>
      <c r="HM47" s="57"/>
      <c r="HN47" s="57"/>
      <c r="HO47" s="57"/>
      <c r="HP47" s="57"/>
      <c r="HQ47" s="57"/>
      <c r="HR47" s="57"/>
      <c r="HS47" s="57"/>
      <c r="HT47" s="57"/>
      <c r="HU47" s="57"/>
      <c r="HV47" s="57"/>
      <c r="HW47" s="57"/>
      <c r="HX47" s="57"/>
      <c r="HY47" s="57"/>
      <c r="HZ47" s="57"/>
      <c r="IA47" s="57"/>
      <c r="IB47" s="57"/>
      <c r="IC47" s="57"/>
      <c r="ID47" s="57"/>
      <c r="IE47" s="57"/>
      <c r="IF47" s="57"/>
      <c r="IG47" s="57"/>
      <c r="IH47" s="57"/>
      <c r="II47" s="57"/>
      <c r="IJ47" s="57"/>
      <c r="IK47" s="57"/>
      <c r="IL47" s="57"/>
      <c r="IM47" s="57"/>
      <c r="IN47" s="57"/>
      <c r="IO47" s="57"/>
      <c r="IP47" s="57"/>
      <c r="IQ47" s="57"/>
      <c r="IR47" s="57"/>
      <c r="IS47" s="57"/>
      <c r="IT47" s="57"/>
      <c r="IU47" s="57"/>
      <c r="IV47" s="57"/>
      <c r="IW47" s="57"/>
      <c r="IX47" s="57"/>
      <c r="IY47" s="57"/>
      <c r="IZ47" s="57"/>
      <c r="JA47" s="57"/>
      <c r="JB47" s="57"/>
      <c r="JC47" s="57"/>
      <c r="JD47" s="57"/>
      <c r="JE47" s="57"/>
      <c r="JF47" s="57"/>
      <c r="JG47" s="57"/>
      <c r="JH47" s="57"/>
      <c r="JI47" s="57"/>
      <c r="JJ47" s="57"/>
      <c r="JK47" s="57"/>
      <c r="JL47" s="57"/>
      <c r="JM47" s="57"/>
      <c r="JN47" s="57"/>
      <c r="JO47" s="57"/>
      <c r="JP47" s="57"/>
      <c r="JQ47" s="57"/>
      <c r="JR47" s="57"/>
      <c r="JS47" s="57"/>
      <c r="JT47" s="57"/>
      <c r="JU47" s="57"/>
      <c r="JV47" s="57"/>
      <c r="JW47" s="57"/>
      <c r="JX47" s="57"/>
      <c r="JY47" s="57"/>
      <c r="JZ47" s="57"/>
      <c r="KA47" s="57"/>
      <c r="KB47" s="57"/>
      <c r="KC47" s="57"/>
      <c r="KD47" s="57"/>
      <c r="KE47" s="57"/>
      <c r="KF47" s="57"/>
      <c r="KG47" s="57"/>
      <c r="KH47" s="57"/>
      <c r="KI47" s="57"/>
      <c r="KJ47" s="57"/>
      <c r="KK47" s="57"/>
      <c r="KL47" s="57"/>
      <c r="KM47" s="57"/>
      <c r="KN47" s="57"/>
      <c r="KO47" s="57"/>
      <c r="KP47" s="57"/>
      <c r="KQ47" s="57"/>
      <c r="KR47" s="57"/>
      <c r="KS47" s="57"/>
      <c r="KT47" s="57"/>
      <c r="KU47" s="57"/>
      <c r="KV47" s="57"/>
      <c r="KW47" s="57"/>
      <c r="KX47" s="57"/>
      <c r="KY47" s="57"/>
      <c r="KZ47" s="57"/>
      <c r="LA47" s="57"/>
      <c r="LB47" s="57"/>
      <c r="LC47" s="57"/>
      <c r="LD47" s="57"/>
      <c r="LE47" s="57"/>
      <c r="LF47" s="57"/>
      <c r="LG47" s="57"/>
      <c r="LH47" s="57"/>
      <c r="LI47" s="57"/>
      <c r="LJ47" s="57"/>
      <c r="LK47" s="57"/>
      <c r="LL47" s="57"/>
      <c r="LM47" s="57"/>
      <c r="LN47" s="57"/>
      <c r="LO47" s="57"/>
      <c r="LP47" s="57"/>
      <c r="LQ47" s="57"/>
      <c r="LR47" s="57"/>
      <c r="LS47" s="57"/>
      <c r="LT47" s="57"/>
      <c r="LU47" s="57"/>
      <c r="LV47" s="57"/>
      <c r="LW47" s="57"/>
      <c r="LX47" s="57"/>
      <c r="LY47" s="57"/>
      <c r="LZ47" s="57"/>
      <c r="MA47" s="57"/>
      <c r="MB47" s="57"/>
      <c r="MC47" s="57"/>
      <c r="MD47" s="57"/>
      <c r="ME47" s="57"/>
      <c r="MF47" s="57"/>
      <c r="MG47" s="57"/>
      <c r="MH47" s="57"/>
      <c r="MI47" s="57"/>
      <c r="MJ47" s="57"/>
      <c r="MK47" s="57"/>
      <c r="ML47" s="57"/>
      <c r="MM47" s="57"/>
      <c r="MN47" s="57"/>
      <c r="MO47" s="57"/>
      <c r="MP47" s="57"/>
      <c r="MQ47" s="57"/>
      <c r="MR47" s="57"/>
      <c r="MS47" s="57"/>
      <c r="MT47" s="57"/>
      <c r="MU47" s="57"/>
      <c r="MV47" s="57"/>
      <c r="MW47" s="57"/>
      <c r="MX47" s="57"/>
      <c r="MY47" s="57"/>
      <c r="MZ47" s="57"/>
      <c r="NA47" s="57"/>
      <c r="NB47" s="57"/>
      <c r="NC47" s="57"/>
      <c r="ND47" s="57"/>
      <c r="NE47" s="57"/>
      <c r="NF47" s="57"/>
      <c r="NG47" s="57"/>
      <c r="NH47" s="57"/>
      <c r="NI47" s="57"/>
      <c r="NJ47" s="57"/>
      <c r="NK47" s="57"/>
      <c r="NL47" s="57"/>
      <c r="NM47" s="57"/>
      <c r="NN47" s="57"/>
      <c r="NO47" s="57"/>
      <c r="NP47" s="57"/>
      <c r="NQ47" s="57"/>
      <c r="NR47" s="57"/>
      <c r="NS47" s="57"/>
      <c r="NT47" s="57"/>
      <c r="NU47" s="57"/>
      <c r="NV47" s="57"/>
      <c r="NW47" s="57"/>
      <c r="NX47" s="57"/>
      <c r="NY47" s="57"/>
      <c r="NZ47" s="57"/>
      <c r="OA47" s="57"/>
      <c r="OB47" s="57"/>
      <c r="OC47" s="57"/>
      <c r="OD47" s="57"/>
      <c r="OE47" s="57"/>
      <c r="OF47" s="57"/>
      <c r="OG47" s="57"/>
      <c r="OH47" s="57"/>
      <c r="OI47" s="57"/>
      <c r="OJ47" s="57"/>
      <c r="OK47" s="57"/>
      <c r="OL47" s="57"/>
      <c r="OM47" s="57"/>
      <c r="ON47" s="57"/>
      <c r="OO47" s="57"/>
      <c r="OP47" s="57"/>
      <c r="OQ47" s="57"/>
      <c r="OR47" s="57"/>
      <c r="OS47" s="57"/>
      <c r="OT47" s="57"/>
      <c r="OU47" s="57"/>
      <c r="OV47" s="57"/>
      <c r="OW47" s="57"/>
      <c r="OX47" s="57"/>
      <c r="OY47" s="57"/>
      <c r="OZ47" s="57"/>
      <c r="PA47" s="57"/>
      <c r="PB47" s="57"/>
      <c r="PC47" s="57"/>
      <c r="PD47" s="57"/>
      <c r="PE47" s="57"/>
      <c r="PF47" s="57"/>
      <c r="PG47" s="57"/>
      <c r="PH47" s="57"/>
      <c r="PI47" s="57"/>
      <c r="PJ47" s="57"/>
      <c r="PK47" s="57"/>
      <c r="PL47" s="57"/>
      <c r="PM47" s="57"/>
      <c r="PN47" s="57"/>
      <c r="PO47" s="57"/>
      <c r="PP47" s="57"/>
      <c r="PQ47" s="57"/>
      <c r="PR47" s="57"/>
      <c r="PS47" s="57"/>
      <c r="PT47" s="57"/>
      <c r="PU47" s="57"/>
      <c r="PV47" s="57"/>
      <c r="PW47" s="57"/>
      <c r="PX47" s="57"/>
      <c r="PY47" s="57"/>
      <c r="PZ47" s="57"/>
      <c r="QA47" s="57"/>
      <c r="QB47" s="57"/>
      <c r="QC47" s="57"/>
      <c r="QD47" s="57"/>
      <c r="QE47" s="57"/>
      <c r="QF47" s="57"/>
      <c r="QG47" s="57"/>
      <c r="QH47" s="57"/>
      <c r="QI47" s="57"/>
      <c r="QJ47" s="57"/>
      <c r="QK47" s="57"/>
      <c r="QL47" s="57"/>
      <c r="QM47" s="57"/>
      <c r="QN47" s="57"/>
      <c r="QO47" s="57"/>
      <c r="QP47" s="57"/>
      <c r="QQ47" s="57"/>
      <c r="QR47" s="57"/>
      <c r="QS47" s="57"/>
      <c r="QT47" s="57"/>
      <c r="QU47" s="57"/>
      <c r="QV47" s="57"/>
      <c r="QW47" s="57"/>
      <c r="QX47" s="57"/>
      <c r="QY47" s="57"/>
      <c r="QZ47" s="57"/>
      <c r="RA47" s="57"/>
      <c r="RB47" s="57"/>
      <c r="RC47" s="57"/>
      <c r="RD47" s="57"/>
      <c r="RE47" s="57"/>
      <c r="RF47" s="57"/>
      <c r="RG47" s="57"/>
      <c r="RH47" s="57"/>
      <c r="RI47" s="57"/>
      <c r="RJ47" s="57"/>
      <c r="RK47" s="57"/>
      <c r="RL47" s="57"/>
      <c r="RM47" s="57"/>
      <c r="RN47" s="57"/>
      <c r="RO47" s="57"/>
      <c r="RP47" s="57"/>
      <c r="RQ47" s="57"/>
      <c r="RR47" s="57"/>
      <c r="RS47" s="57"/>
      <c r="RT47" s="57"/>
      <c r="RU47" s="57"/>
      <c r="RV47" s="57"/>
      <c r="RW47" s="57"/>
      <c r="RX47" s="57"/>
      <c r="RY47" s="57"/>
      <c r="RZ47" s="57"/>
      <c r="SA47" s="57"/>
      <c r="SB47" s="57"/>
      <c r="SC47" s="57"/>
      <c r="SD47" s="57"/>
      <c r="SE47" s="57"/>
      <c r="SF47" s="57"/>
      <c r="SG47" s="57"/>
      <c r="SH47" s="57"/>
      <c r="SI47" s="57"/>
      <c r="SJ47" s="57"/>
      <c r="SK47" s="57"/>
      <c r="SL47" s="57"/>
      <c r="SM47" s="57"/>
      <c r="SN47" s="57"/>
      <c r="SO47" s="57"/>
      <c r="SP47" s="57"/>
      <c r="SQ47" s="57"/>
      <c r="SR47" s="57"/>
      <c r="SS47" s="57"/>
      <c r="ST47" s="57"/>
      <c r="SU47" s="57"/>
      <c r="SV47" s="57"/>
      <c r="SW47" s="57"/>
      <c r="SX47" s="57"/>
      <c r="SY47" s="57"/>
      <c r="SZ47" s="57"/>
      <c r="TA47" s="57"/>
      <c r="TB47" s="57"/>
      <c r="TC47" s="57"/>
      <c r="TD47" s="57"/>
      <c r="TE47" s="57"/>
      <c r="TF47" s="57"/>
      <c r="TG47" s="57"/>
      <c r="TH47" s="57"/>
      <c r="TI47" s="57"/>
      <c r="TJ47" s="57"/>
      <c r="TK47" s="57"/>
      <c r="TL47" s="57"/>
      <c r="TM47" s="57"/>
      <c r="TN47" s="57"/>
      <c r="TO47" s="57"/>
      <c r="TP47" s="57"/>
      <c r="TQ47" s="57"/>
      <c r="TR47" s="57"/>
      <c r="TS47" s="57"/>
      <c r="TT47" s="57"/>
      <c r="TU47" s="57"/>
      <c r="TV47" s="57"/>
      <c r="TW47" s="57"/>
      <c r="TX47" s="57"/>
      <c r="TY47" s="57"/>
      <c r="TZ47" s="57"/>
      <c r="UA47" s="57"/>
      <c r="UB47" s="57"/>
      <c r="UC47" s="57"/>
      <c r="UD47" s="57"/>
      <c r="UE47" s="57"/>
      <c r="UF47" s="57"/>
      <c r="UG47" s="57"/>
      <c r="UH47" s="57"/>
      <c r="UI47" s="57"/>
      <c r="UJ47" s="57"/>
      <c r="UK47" s="57"/>
      <c r="UL47" s="57"/>
      <c r="UM47" s="57"/>
      <c r="UN47" s="57"/>
      <c r="UO47" s="57"/>
      <c r="UP47" s="57"/>
      <c r="UQ47" s="57"/>
      <c r="UR47" s="57"/>
      <c r="US47" s="57"/>
      <c r="UT47" s="57"/>
      <c r="UU47" s="57"/>
      <c r="UV47" s="57"/>
      <c r="UW47" s="57"/>
      <c r="UX47" s="57"/>
      <c r="UY47" s="57"/>
      <c r="UZ47" s="57"/>
      <c r="VA47" s="57"/>
      <c r="VB47" s="57"/>
      <c r="VC47" s="57"/>
      <c r="VD47" s="57"/>
      <c r="VE47" s="57"/>
      <c r="VF47" s="57"/>
      <c r="VG47" s="57"/>
      <c r="VH47" s="57"/>
      <c r="VI47" s="57"/>
      <c r="VJ47" s="57"/>
      <c r="VK47" s="57"/>
      <c r="VL47" s="57"/>
      <c r="VM47" s="57"/>
      <c r="VN47" s="57"/>
      <c r="VO47" s="57"/>
      <c r="VP47" s="57"/>
      <c r="VQ47" s="57"/>
      <c r="VR47" s="57"/>
      <c r="VS47" s="57"/>
      <c r="VT47" s="57"/>
      <c r="VU47" s="57"/>
      <c r="VV47" s="57"/>
      <c r="VW47" s="57"/>
      <c r="VX47" s="57"/>
      <c r="VY47" s="57"/>
      <c r="VZ47" s="57"/>
      <c r="WA47" s="57"/>
      <c r="WB47" s="57"/>
      <c r="WC47" s="57"/>
      <c r="WD47" s="57"/>
      <c r="WE47" s="57"/>
      <c r="WF47" s="57"/>
      <c r="WG47" s="57"/>
      <c r="WH47" s="57"/>
      <c r="WI47" s="57"/>
      <c r="WJ47" s="57"/>
      <c r="WK47" s="57"/>
      <c r="WL47" s="57"/>
      <c r="WM47" s="57"/>
      <c r="WN47" s="57"/>
      <c r="WO47" s="57"/>
      <c r="WP47" s="57"/>
      <c r="WQ47" s="57"/>
      <c r="WR47" s="57"/>
      <c r="WS47" s="57"/>
      <c r="WT47" s="57"/>
      <c r="WU47" s="57"/>
      <c r="WV47" s="57"/>
      <c r="WW47" s="57"/>
      <c r="WX47" s="57"/>
      <c r="WY47" s="57"/>
      <c r="WZ47" s="57"/>
      <c r="XA47" s="57"/>
      <c r="XB47" s="57"/>
      <c r="XC47" s="57"/>
      <c r="XD47" s="57"/>
      <c r="XE47" s="57"/>
      <c r="XF47" s="57"/>
      <c r="XG47" s="57"/>
      <c r="XH47" s="57"/>
      <c r="XI47" s="57"/>
      <c r="XJ47" s="57"/>
      <c r="XK47" s="57"/>
      <c r="XL47" s="57"/>
      <c r="XM47" s="57"/>
      <c r="XN47" s="57"/>
      <c r="XO47" s="57"/>
      <c r="XP47" s="57"/>
      <c r="XQ47" s="57"/>
      <c r="XR47" s="57"/>
      <c r="XS47" s="57"/>
      <c r="XT47" s="57"/>
      <c r="XU47" s="57"/>
      <c r="XV47" s="57"/>
      <c r="XW47" s="57"/>
      <c r="XX47" s="57"/>
      <c r="XY47" s="57"/>
      <c r="XZ47" s="57"/>
      <c r="YA47" s="57"/>
      <c r="YB47" s="57"/>
      <c r="YC47" s="57"/>
      <c r="YD47" s="57"/>
      <c r="YE47" s="57"/>
      <c r="YF47" s="57"/>
      <c r="YG47" s="57"/>
      <c r="YH47" s="57"/>
      <c r="YI47" s="57"/>
      <c r="YJ47" s="57"/>
      <c r="YK47" s="57"/>
      <c r="YL47" s="57"/>
      <c r="YM47" s="57"/>
      <c r="YN47" s="57"/>
      <c r="YO47" s="57"/>
      <c r="YP47" s="57"/>
      <c r="YQ47" s="57"/>
      <c r="YR47" s="57"/>
      <c r="YS47" s="57"/>
      <c r="YT47" s="57"/>
      <c r="YU47" s="57"/>
      <c r="YV47" s="57"/>
      <c r="YW47" s="57"/>
      <c r="YX47" s="57"/>
      <c r="YY47" s="57"/>
      <c r="YZ47" s="57"/>
      <c r="ZA47" s="57"/>
      <c r="ZB47" s="57"/>
      <c r="ZC47" s="57"/>
      <c r="ZD47" s="57"/>
      <c r="ZE47" s="57"/>
      <c r="ZF47" s="57"/>
      <c r="ZG47" s="57"/>
      <c r="ZH47" s="57"/>
      <c r="ZI47" s="57"/>
      <c r="ZJ47" s="57"/>
      <c r="ZK47" s="57"/>
      <c r="ZL47" s="57"/>
      <c r="ZM47" s="57"/>
      <c r="ZN47" s="57"/>
      <c r="ZO47" s="57"/>
      <c r="ZP47" s="57"/>
      <c r="ZQ47" s="57"/>
      <c r="ZR47" s="57"/>
      <c r="ZS47" s="57"/>
      <c r="ZT47" s="57"/>
      <c r="ZU47" s="57"/>
      <c r="ZV47" s="57"/>
      <c r="ZW47" s="57"/>
      <c r="ZX47" s="57"/>
      <c r="ZY47" s="57"/>
      <c r="ZZ47" s="57"/>
      <c r="AAA47" s="57"/>
      <c r="AAB47" s="57"/>
      <c r="AAC47" s="57"/>
      <c r="AAD47" s="57"/>
      <c r="AAE47" s="57"/>
      <c r="AAF47" s="57"/>
      <c r="AAG47" s="57"/>
      <c r="AAH47" s="57"/>
      <c r="AAI47" s="57"/>
      <c r="AAJ47" s="57"/>
      <c r="AAK47" s="57"/>
      <c r="AAL47" s="57"/>
      <c r="AAM47" s="57"/>
      <c r="AAN47" s="57"/>
      <c r="AAO47" s="57"/>
      <c r="AAP47" s="57"/>
      <c r="AAQ47" s="57"/>
      <c r="AAR47" s="57"/>
      <c r="AAS47" s="57"/>
      <c r="AAT47" s="57"/>
      <c r="AAU47" s="57"/>
      <c r="AAV47" s="57"/>
      <c r="AAW47" s="57"/>
      <c r="AAX47" s="57"/>
      <c r="AAY47" s="57"/>
      <c r="AAZ47" s="57"/>
      <c r="ABA47" s="57"/>
      <c r="ABB47" s="57"/>
      <c r="ABC47" s="57"/>
      <c r="ABD47" s="57"/>
      <c r="ABE47" s="57"/>
      <c r="ABF47" s="57"/>
      <c r="ABG47" s="57"/>
      <c r="ABH47" s="57"/>
      <c r="ABI47" s="57"/>
      <c r="ABJ47" s="57"/>
      <c r="ABK47" s="57"/>
      <c r="ABL47" s="57"/>
      <c r="ABM47" s="57"/>
      <c r="ABN47" s="57"/>
      <c r="ABO47" s="57"/>
      <c r="ABP47" s="57"/>
      <c r="ABQ47" s="57"/>
      <c r="ABR47" s="57"/>
      <c r="ABS47" s="57"/>
      <c r="ABT47" s="57"/>
      <c r="ABU47" s="57"/>
      <c r="ABV47" s="57"/>
      <c r="ABW47" s="57"/>
      <c r="ABX47" s="57"/>
      <c r="ABY47" s="57"/>
      <c r="ABZ47" s="57"/>
      <c r="ACA47" s="57"/>
      <c r="ACB47" s="57"/>
      <c r="ACC47" s="57"/>
      <c r="ACD47" s="57"/>
      <c r="ACE47" s="57"/>
      <c r="ACF47" s="57"/>
      <c r="ACG47" s="57"/>
      <c r="ACH47" s="57"/>
      <c r="ACI47" s="57"/>
      <c r="ACJ47" s="57"/>
      <c r="ACK47" s="57"/>
      <c r="ACL47" s="57"/>
      <c r="ACM47" s="57"/>
      <c r="ACN47" s="57"/>
      <c r="ACO47" s="57"/>
      <c r="ACP47" s="57"/>
      <c r="ACQ47" s="57"/>
      <c r="ACR47" s="57"/>
      <c r="ACS47" s="57"/>
      <c r="ACT47" s="57"/>
      <c r="ACU47" s="57"/>
      <c r="ACV47" s="57"/>
      <c r="ACW47" s="57"/>
      <c r="ACX47" s="57"/>
      <c r="ACY47" s="57"/>
      <c r="ACZ47" s="57"/>
      <c r="ADA47" s="57"/>
      <c r="ADB47" s="57"/>
      <c r="ADC47" s="57"/>
      <c r="ADD47" s="57"/>
      <c r="ADE47" s="57"/>
      <c r="ADF47" s="57"/>
      <c r="ADG47" s="57"/>
      <c r="ADH47" s="57"/>
      <c r="ADI47" s="57"/>
      <c r="ADJ47" s="57"/>
      <c r="ADK47" s="57"/>
      <c r="ADL47" s="57"/>
      <c r="ADM47" s="57"/>
      <c r="ADN47" s="57"/>
      <c r="ADO47" s="57"/>
      <c r="ADP47" s="57"/>
      <c r="ADQ47" s="57"/>
      <c r="ADR47" s="57"/>
      <c r="ADS47" s="57"/>
      <c r="ADT47" s="57"/>
      <c r="ADU47" s="57"/>
      <c r="ADV47" s="57"/>
      <c r="ADW47" s="57"/>
      <c r="ADX47" s="57"/>
      <c r="ADY47" s="57"/>
      <c r="ADZ47" s="57"/>
      <c r="AEA47" s="57"/>
      <c r="AEB47" s="57"/>
      <c r="AEC47" s="57"/>
      <c r="AED47" s="57"/>
      <c r="AEE47" s="57"/>
      <c r="AEF47" s="57"/>
      <c r="AEG47" s="57"/>
      <c r="AEH47" s="57"/>
      <c r="AEI47" s="57"/>
      <c r="AEJ47" s="57"/>
      <c r="AEK47" s="57"/>
      <c r="AEL47" s="57"/>
      <c r="AEM47" s="57"/>
      <c r="AEN47" s="57"/>
      <c r="AEO47" s="57"/>
      <c r="AEP47" s="57"/>
      <c r="AEQ47" s="57"/>
      <c r="AER47" s="57"/>
      <c r="AES47" s="57"/>
      <c r="AET47" s="57"/>
      <c r="AEU47" s="57"/>
      <c r="AEV47" s="57"/>
      <c r="AEW47" s="57"/>
      <c r="AEX47" s="57"/>
      <c r="AEY47" s="57"/>
      <c r="AEZ47" s="57"/>
      <c r="AFA47" s="57"/>
      <c r="AFB47" s="57"/>
      <c r="AFC47" s="57"/>
      <c r="AFD47" s="57"/>
      <c r="AFE47" s="57"/>
      <c r="AFF47" s="57"/>
      <c r="AFG47" s="57"/>
      <c r="AFH47" s="57"/>
      <c r="AFI47" s="57"/>
      <c r="AFJ47" s="57"/>
      <c r="AFK47" s="57"/>
      <c r="AFL47" s="57"/>
      <c r="AFM47" s="57"/>
      <c r="AFN47" s="57"/>
      <c r="AFO47" s="57"/>
      <c r="AFP47" s="57"/>
      <c r="AFQ47" s="57"/>
      <c r="AFR47" s="57"/>
      <c r="AFS47" s="57"/>
      <c r="AFT47" s="57"/>
      <c r="AFU47" s="57"/>
      <c r="AFV47" s="57"/>
      <c r="AFW47" s="57"/>
      <c r="AFX47" s="57"/>
      <c r="AFY47" s="57"/>
      <c r="AFZ47" s="57"/>
      <c r="AGA47" s="57"/>
      <c r="AGB47" s="57"/>
      <c r="AGC47" s="57"/>
      <c r="AGD47" s="57"/>
      <c r="AGE47" s="57"/>
      <c r="AGF47" s="57"/>
      <c r="AGG47" s="57"/>
      <c r="AGH47" s="57"/>
      <c r="AGI47" s="57"/>
      <c r="AGJ47" s="57"/>
      <c r="AGK47" s="57"/>
      <c r="AGL47" s="57"/>
      <c r="AGM47" s="57"/>
      <c r="AGN47" s="57"/>
      <c r="AGO47" s="57"/>
      <c r="AGP47" s="57"/>
      <c r="AGQ47" s="57"/>
      <c r="AGR47" s="57"/>
      <c r="AGS47" s="57"/>
      <c r="AGT47" s="57"/>
      <c r="AGU47" s="57"/>
      <c r="AGV47" s="57"/>
      <c r="AGW47" s="57"/>
      <c r="AGX47" s="57"/>
      <c r="AGY47" s="57"/>
      <c r="AGZ47" s="57"/>
      <c r="AHA47" s="57"/>
      <c r="AHB47" s="57"/>
      <c r="AHC47" s="57"/>
      <c r="AHD47" s="57"/>
      <c r="AHE47" s="57"/>
      <c r="AHF47" s="57"/>
      <c r="AHG47" s="57"/>
      <c r="AHH47" s="57"/>
      <c r="AHI47" s="57"/>
      <c r="AHJ47" s="57"/>
      <c r="AHK47" s="57"/>
      <c r="AHL47" s="57"/>
      <c r="AHM47" s="57"/>
      <c r="AHN47" s="57"/>
      <c r="AHO47" s="57"/>
      <c r="AHP47" s="57"/>
      <c r="AHQ47" s="57"/>
      <c r="AHR47" s="57"/>
      <c r="AHS47" s="57"/>
      <c r="AHT47" s="57"/>
      <c r="AHU47" s="57"/>
      <c r="AHV47" s="57"/>
      <c r="AHW47" s="57"/>
      <c r="AHX47" s="57"/>
      <c r="AHY47" s="57"/>
      <c r="AHZ47" s="57"/>
      <c r="AIA47" s="57"/>
      <c r="AIB47" s="57"/>
      <c r="AIC47" s="57"/>
      <c r="AID47" s="57"/>
      <c r="AIE47" s="57"/>
      <c r="AIF47" s="57"/>
      <c r="AIG47" s="57"/>
      <c r="AIH47" s="57"/>
      <c r="AII47" s="57"/>
      <c r="AIJ47" s="57"/>
      <c r="AIK47" s="57"/>
      <c r="AIL47" s="57"/>
      <c r="AIM47" s="57"/>
      <c r="AIN47" s="57"/>
      <c r="AIO47" s="57"/>
      <c r="AIP47" s="57"/>
      <c r="AIQ47" s="57"/>
      <c r="AIR47" s="57"/>
      <c r="AIS47" s="57"/>
      <c r="AIT47" s="57"/>
      <c r="AIU47" s="57"/>
      <c r="AIV47" s="57"/>
      <c r="AIW47" s="57"/>
      <c r="AIX47" s="57"/>
      <c r="AIY47" s="57"/>
      <c r="AIZ47" s="57"/>
      <c r="AJA47" s="57"/>
      <c r="AJB47" s="57"/>
      <c r="AJC47" s="57"/>
      <c r="AJD47" s="57"/>
      <c r="AJE47" s="57"/>
      <c r="AJF47" s="57"/>
      <c r="AJG47" s="57"/>
      <c r="AJH47" s="57"/>
      <c r="AJI47" s="57"/>
      <c r="AJJ47" s="57"/>
      <c r="AJK47" s="57"/>
      <c r="AJL47" s="57"/>
      <c r="AJM47" s="57"/>
      <c r="AJN47" s="57"/>
      <c r="AJO47" s="57"/>
      <c r="AJP47" s="57"/>
      <c r="AJQ47" s="57"/>
      <c r="AJR47" s="57"/>
      <c r="AJS47" s="57"/>
      <c r="AJT47" s="57"/>
      <c r="AJU47" s="57"/>
      <c r="AJV47" s="57"/>
      <c r="AJW47" s="57"/>
      <c r="AJX47" s="57"/>
      <c r="AJY47" s="57"/>
      <c r="AJZ47" s="57"/>
      <c r="AKA47" s="57"/>
      <c r="AKB47" s="57"/>
      <c r="AKC47" s="57"/>
      <c r="AKD47" s="57"/>
      <c r="AKE47" s="57"/>
      <c r="AKF47" s="57"/>
      <c r="AKG47" s="57"/>
      <c r="AKH47" s="57"/>
      <c r="AKI47" s="57"/>
      <c r="AKJ47" s="57"/>
      <c r="AKK47" s="57"/>
      <c r="AKL47" s="57"/>
      <c r="AKM47" s="57"/>
      <c r="AKN47" s="57"/>
      <c r="AKO47" s="57"/>
      <c r="AKP47" s="57"/>
      <c r="AKQ47" s="57"/>
      <c r="AKR47" s="57"/>
      <c r="AKS47" s="57"/>
      <c r="AKT47" s="57"/>
      <c r="AKU47" s="57"/>
      <c r="AKV47" s="57"/>
      <c r="AKW47" s="57"/>
      <c r="AKX47" s="57"/>
      <c r="AKY47" s="57"/>
      <c r="AKZ47" s="57"/>
      <c r="ALA47" s="57"/>
      <c r="ALB47" s="57"/>
      <c r="ALC47" s="57"/>
      <c r="ALD47" s="57"/>
      <c r="ALE47" s="57"/>
      <c r="ALF47" s="57"/>
      <c r="ALG47" s="57"/>
      <c r="ALH47" s="57"/>
      <c r="ALI47" s="57"/>
      <c r="ALJ47" s="57"/>
      <c r="ALK47" s="57"/>
      <c r="ALL47" s="57"/>
      <c r="ALM47" s="57"/>
      <c r="ALN47" s="57"/>
      <c r="ALO47" s="57"/>
      <c r="ALP47" s="57"/>
      <c r="ALQ47" s="57"/>
      <c r="ALR47" s="57"/>
      <c r="ALS47" s="57"/>
      <c r="ALT47" s="57"/>
      <c r="ALU47" s="57"/>
      <c r="ALV47" s="57"/>
      <c r="ALW47" s="57"/>
      <c r="ALX47" s="57"/>
      <c r="ALY47" s="57"/>
      <c r="ALZ47" s="57"/>
      <c r="AMA47" s="57"/>
      <c r="AMB47" s="57"/>
      <c r="AMC47" s="57"/>
      <c r="AMD47" s="57"/>
      <c r="AME47" s="57"/>
      <c r="AMF47" s="57"/>
      <c r="AMG47" s="57"/>
      <c r="AMH47" s="57"/>
      <c r="AMI47" s="57"/>
      <c r="AMJ47" s="57"/>
    </row>
    <row r="48" s="34" customFormat="true" ht="72.35" hidden="false" customHeight="false" outlineLevel="0" collapsed="false">
      <c r="A48" s="51" t="s">
        <v>145</v>
      </c>
      <c r="B48" s="51" t="s">
        <v>146</v>
      </c>
      <c r="C48" s="52" t="s">
        <v>31</v>
      </c>
      <c r="D48" s="53" t="s">
        <v>147</v>
      </c>
      <c r="E48" s="54" t="s">
        <v>13</v>
      </c>
      <c r="F48" s="52" t="s">
        <v>13</v>
      </c>
      <c r="G48" s="55" t="n">
        <v>32.29</v>
      </c>
      <c r="H48" s="7"/>
      <c r="I48" s="7"/>
      <c r="J48" s="7"/>
      <c r="K48" s="56"/>
      <c r="L48" s="42" t="s">
        <v>130</v>
      </c>
      <c r="M48" s="4"/>
      <c r="N48" s="4"/>
      <c r="O48" s="4"/>
      <c r="P48" s="4"/>
      <c r="Q48" s="4"/>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57"/>
      <c r="BM48" s="57"/>
      <c r="BN48" s="57"/>
      <c r="BO48" s="57"/>
      <c r="BP48" s="57"/>
      <c r="BQ48" s="57"/>
      <c r="BR48" s="57"/>
      <c r="BS48" s="57"/>
      <c r="BT48" s="57"/>
      <c r="BU48" s="57"/>
      <c r="BV48" s="57"/>
      <c r="BW48" s="57"/>
      <c r="BX48" s="57"/>
      <c r="BY48" s="57"/>
      <c r="BZ48" s="57"/>
      <c r="CA48" s="57"/>
      <c r="CB48" s="57"/>
      <c r="CC48" s="57"/>
      <c r="CD48" s="57"/>
      <c r="CE48" s="57"/>
      <c r="CF48" s="57"/>
      <c r="CG48" s="57"/>
      <c r="CH48" s="57"/>
      <c r="CI48" s="57"/>
      <c r="CJ48" s="57"/>
      <c r="CK48" s="57"/>
      <c r="CL48" s="57"/>
      <c r="CM48" s="57"/>
      <c r="CN48" s="57"/>
      <c r="CO48" s="57"/>
      <c r="CP48" s="57"/>
      <c r="CQ48" s="57"/>
      <c r="CR48" s="57"/>
      <c r="CS48" s="57"/>
      <c r="CT48" s="57"/>
      <c r="CU48" s="57"/>
      <c r="CV48" s="57"/>
      <c r="CW48" s="57"/>
      <c r="CX48" s="57"/>
      <c r="CY48" s="57"/>
      <c r="CZ48" s="57"/>
      <c r="DA48" s="57"/>
      <c r="DB48" s="57"/>
      <c r="DC48" s="57"/>
      <c r="DD48" s="57"/>
      <c r="DE48" s="57"/>
      <c r="DF48" s="57"/>
      <c r="DG48" s="57"/>
      <c r="DH48" s="57"/>
      <c r="DI48" s="57"/>
      <c r="DJ48" s="57"/>
      <c r="DK48" s="57"/>
      <c r="DL48" s="57"/>
      <c r="DM48" s="57"/>
      <c r="DN48" s="57"/>
      <c r="DO48" s="57"/>
      <c r="DP48" s="57"/>
      <c r="DQ48" s="57"/>
      <c r="DR48" s="57"/>
      <c r="DS48" s="57"/>
      <c r="DT48" s="57"/>
      <c r="DU48" s="57"/>
      <c r="DV48" s="57"/>
      <c r="DW48" s="57"/>
      <c r="DX48" s="57"/>
      <c r="DY48" s="57"/>
      <c r="DZ48" s="57"/>
      <c r="EA48" s="57"/>
      <c r="EB48" s="57"/>
      <c r="EC48" s="57"/>
      <c r="ED48" s="57"/>
      <c r="EE48" s="57"/>
      <c r="EF48" s="57"/>
      <c r="EG48" s="57"/>
      <c r="EH48" s="57"/>
      <c r="EI48" s="57"/>
      <c r="EJ48" s="57"/>
      <c r="EK48" s="57"/>
      <c r="EL48" s="57"/>
      <c r="EM48" s="57"/>
      <c r="EN48" s="57"/>
      <c r="EO48" s="57"/>
      <c r="EP48" s="57"/>
      <c r="EQ48" s="57"/>
      <c r="ER48" s="57"/>
      <c r="ES48" s="57"/>
      <c r="ET48" s="57"/>
      <c r="EU48" s="57"/>
      <c r="EV48" s="57"/>
      <c r="EW48" s="57"/>
      <c r="EX48" s="57"/>
      <c r="EY48" s="57"/>
      <c r="EZ48" s="57"/>
      <c r="FA48" s="57"/>
      <c r="FB48" s="57"/>
      <c r="FC48" s="57"/>
      <c r="FD48" s="57"/>
      <c r="FE48" s="57"/>
      <c r="FF48" s="57"/>
      <c r="FG48" s="57"/>
      <c r="FH48" s="57"/>
      <c r="FI48" s="57"/>
      <c r="FJ48" s="57"/>
      <c r="FK48" s="57"/>
      <c r="FL48" s="57"/>
      <c r="FM48" s="57"/>
      <c r="FN48" s="57"/>
      <c r="FO48" s="57"/>
      <c r="FP48" s="57"/>
      <c r="FQ48" s="57"/>
      <c r="FR48" s="57"/>
      <c r="FS48" s="57"/>
      <c r="FT48" s="57"/>
      <c r="FU48" s="57"/>
      <c r="FV48" s="57"/>
      <c r="FW48" s="57"/>
      <c r="FX48" s="57"/>
      <c r="FY48" s="57"/>
      <c r="FZ48" s="57"/>
      <c r="GA48" s="57"/>
      <c r="GB48" s="57"/>
      <c r="GC48" s="57"/>
      <c r="GD48" s="57"/>
      <c r="GE48" s="57"/>
      <c r="GF48" s="57"/>
      <c r="GG48" s="57"/>
      <c r="GH48" s="57"/>
      <c r="GI48" s="57"/>
      <c r="GJ48" s="57"/>
      <c r="GK48" s="57"/>
      <c r="GL48" s="57"/>
      <c r="GM48" s="57"/>
      <c r="GN48" s="57"/>
      <c r="GO48" s="57"/>
      <c r="GP48" s="57"/>
      <c r="GQ48" s="57"/>
      <c r="GR48" s="57"/>
      <c r="GS48" s="57"/>
      <c r="GT48" s="57"/>
      <c r="GU48" s="57"/>
      <c r="GV48" s="57"/>
      <c r="GW48" s="57"/>
      <c r="GX48" s="57"/>
      <c r="GY48" s="57"/>
      <c r="GZ48" s="57"/>
      <c r="HA48" s="57"/>
      <c r="HB48" s="57"/>
      <c r="HC48" s="57"/>
      <c r="HD48" s="57"/>
      <c r="HE48" s="57"/>
      <c r="HF48" s="57"/>
      <c r="HG48" s="57"/>
      <c r="HH48" s="57"/>
      <c r="HI48" s="57"/>
      <c r="HJ48" s="57"/>
      <c r="HK48" s="57"/>
      <c r="HL48" s="57"/>
      <c r="HM48" s="57"/>
      <c r="HN48" s="57"/>
      <c r="HO48" s="57"/>
      <c r="HP48" s="57"/>
      <c r="HQ48" s="57"/>
      <c r="HR48" s="57"/>
      <c r="HS48" s="57"/>
      <c r="HT48" s="57"/>
      <c r="HU48" s="57"/>
      <c r="HV48" s="57"/>
      <c r="HW48" s="57"/>
      <c r="HX48" s="57"/>
      <c r="HY48" s="57"/>
      <c r="HZ48" s="57"/>
      <c r="IA48" s="57"/>
      <c r="IB48" s="57"/>
      <c r="IC48" s="57"/>
      <c r="ID48" s="57"/>
      <c r="IE48" s="57"/>
      <c r="IF48" s="57"/>
      <c r="IG48" s="57"/>
      <c r="IH48" s="57"/>
      <c r="II48" s="57"/>
      <c r="IJ48" s="57"/>
      <c r="IK48" s="57"/>
      <c r="IL48" s="57"/>
      <c r="IM48" s="57"/>
      <c r="IN48" s="57"/>
      <c r="IO48" s="57"/>
      <c r="IP48" s="57"/>
      <c r="IQ48" s="57"/>
      <c r="IR48" s="57"/>
      <c r="IS48" s="57"/>
      <c r="IT48" s="57"/>
      <c r="IU48" s="57"/>
      <c r="IV48" s="57"/>
      <c r="IW48" s="57"/>
      <c r="IX48" s="57"/>
      <c r="IY48" s="57"/>
      <c r="IZ48" s="57"/>
      <c r="JA48" s="57"/>
      <c r="JB48" s="57"/>
      <c r="JC48" s="57"/>
      <c r="JD48" s="57"/>
      <c r="JE48" s="57"/>
      <c r="JF48" s="57"/>
      <c r="JG48" s="57"/>
      <c r="JH48" s="57"/>
      <c r="JI48" s="57"/>
      <c r="JJ48" s="57"/>
      <c r="JK48" s="57"/>
      <c r="JL48" s="57"/>
      <c r="JM48" s="57"/>
      <c r="JN48" s="57"/>
      <c r="JO48" s="57"/>
      <c r="JP48" s="57"/>
      <c r="JQ48" s="57"/>
      <c r="JR48" s="57"/>
      <c r="JS48" s="57"/>
      <c r="JT48" s="57"/>
      <c r="JU48" s="57"/>
      <c r="JV48" s="57"/>
      <c r="JW48" s="57"/>
      <c r="JX48" s="57"/>
      <c r="JY48" s="57"/>
      <c r="JZ48" s="57"/>
      <c r="KA48" s="57"/>
      <c r="KB48" s="57"/>
      <c r="KC48" s="57"/>
      <c r="KD48" s="57"/>
      <c r="KE48" s="57"/>
      <c r="KF48" s="57"/>
      <c r="KG48" s="57"/>
      <c r="KH48" s="57"/>
      <c r="KI48" s="57"/>
      <c r="KJ48" s="57"/>
      <c r="KK48" s="57"/>
      <c r="KL48" s="57"/>
      <c r="KM48" s="57"/>
      <c r="KN48" s="57"/>
      <c r="KO48" s="57"/>
      <c r="KP48" s="57"/>
      <c r="KQ48" s="57"/>
      <c r="KR48" s="57"/>
      <c r="KS48" s="57"/>
      <c r="KT48" s="57"/>
      <c r="KU48" s="57"/>
      <c r="KV48" s="57"/>
      <c r="KW48" s="57"/>
      <c r="KX48" s="57"/>
      <c r="KY48" s="57"/>
      <c r="KZ48" s="57"/>
      <c r="LA48" s="57"/>
      <c r="LB48" s="57"/>
      <c r="LC48" s="57"/>
      <c r="LD48" s="57"/>
      <c r="LE48" s="57"/>
      <c r="LF48" s="57"/>
      <c r="LG48" s="57"/>
      <c r="LH48" s="57"/>
      <c r="LI48" s="57"/>
      <c r="LJ48" s="57"/>
      <c r="LK48" s="57"/>
      <c r="LL48" s="57"/>
      <c r="LM48" s="57"/>
      <c r="LN48" s="57"/>
      <c r="LO48" s="57"/>
      <c r="LP48" s="57"/>
      <c r="LQ48" s="57"/>
      <c r="LR48" s="57"/>
      <c r="LS48" s="57"/>
      <c r="LT48" s="57"/>
      <c r="LU48" s="57"/>
      <c r="LV48" s="57"/>
      <c r="LW48" s="57"/>
      <c r="LX48" s="57"/>
      <c r="LY48" s="57"/>
      <c r="LZ48" s="57"/>
      <c r="MA48" s="57"/>
      <c r="MB48" s="57"/>
      <c r="MC48" s="57"/>
      <c r="MD48" s="57"/>
      <c r="ME48" s="57"/>
      <c r="MF48" s="57"/>
      <c r="MG48" s="57"/>
      <c r="MH48" s="57"/>
      <c r="MI48" s="57"/>
      <c r="MJ48" s="57"/>
      <c r="MK48" s="57"/>
      <c r="ML48" s="57"/>
      <c r="MM48" s="57"/>
      <c r="MN48" s="57"/>
      <c r="MO48" s="57"/>
      <c r="MP48" s="57"/>
      <c r="MQ48" s="57"/>
      <c r="MR48" s="57"/>
      <c r="MS48" s="57"/>
      <c r="MT48" s="57"/>
      <c r="MU48" s="57"/>
      <c r="MV48" s="57"/>
      <c r="MW48" s="57"/>
      <c r="MX48" s="57"/>
      <c r="MY48" s="57"/>
      <c r="MZ48" s="57"/>
      <c r="NA48" s="57"/>
      <c r="NB48" s="57"/>
      <c r="NC48" s="57"/>
      <c r="ND48" s="57"/>
      <c r="NE48" s="57"/>
      <c r="NF48" s="57"/>
      <c r="NG48" s="57"/>
      <c r="NH48" s="57"/>
      <c r="NI48" s="57"/>
      <c r="NJ48" s="57"/>
      <c r="NK48" s="57"/>
      <c r="NL48" s="57"/>
      <c r="NM48" s="57"/>
      <c r="NN48" s="57"/>
      <c r="NO48" s="57"/>
      <c r="NP48" s="57"/>
      <c r="NQ48" s="57"/>
      <c r="NR48" s="57"/>
      <c r="NS48" s="57"/>
      <c r="NT48" s="57"/>
      <c r="NU48" s="57"/>
      <c r="NV48" s="57"/>
      <c r="NW48" s="57"/>
      <c r="NX48" s="57"/>
      <c r="NY48" s="57"/>
      <c r="NZ48" s="57"/>
      <c r="OA48" s="57"/>
      <c r="OB48" s="57"/>
      <c r="OC48" s="57"/>
      <c r="OD48" s="57"/>
      <c r="OE48" s="57"/>
      <c r="OF48" s="57"/>
      <c r="OG48" s="57"/>
      <c r="OH48" s="57"/>
      <c r="OI48" s="57"/>
      <c r="OJ48" s="57"/>
      <c r="OK48" s="57"/>
      <c r="OL48" s="57"/>
      <c r="OM48" s="57"/>
      <c r="ON48" s="57"/>
      <c r="OO48" s="57"/>
      <c r="OP48" s="57"/>
      <c r="OQ48" s="57"/>
      <c r="OR48" s="57"/>
      <c r="OS48" s="57"/>
      <c r="OT48" s="57"/>
      <c r="OU48" s="57"/>
      <c r="OV48" s="57"/>
      <c r="OW48" s="57"/>
      <c r="OX48" s="57"/>
      <c r="OY48" s="57"/>
      <c r="OZ48" s="57"/>
      <c r="PA48" s="57"/>
      <c r="PB48" s="57"/>
      <c r="PC48" s="57"/>
      <c r="PD48" s="57"/>
      <c r="PE48" s="57"/>
      <c r="PF48" s="57"/>
      <c r="PG48" s="57"/>
      <c r="PH48" s="57"/>
      <c r="PI48" s="57"/>
      <c r="PJ48" s="57"/>
      <c r="PK48" s="57"/>
      <c r="PL48" s="57"/>
      <c r="PM48" s="57"/>
      <c r="PN48" s="57"/>
      <c r="PO48" s="57"/>
      <c r="PP48" s="57"/>
      <c r="PQ48" s="57"/>
      <c r="PR48" s="57"/>
      <c r="PS48" s="57"/>
      <c r="PT48" s="57"/>
      <c r="PU48" s="57"/>
      <c r="PV48" s="57"/>
      <c r="PW48" s="57"/>
      <c r="PX48" s="57"/>
      <c r="PY48" s="57"/>
      <c r="PZ48" s="57"/>
      <c r="QA48" s="57"/>
      <c r="QB48" s="57"/>
      <c r="QC48" s="57"/>
      <c r="QD48" s="57"/>
      <c r="QE48" s="57"/>
      <c r="QF48" s="57"/>
      <c r="QG48" s="57"/>
      <c r="QH48" s="57"/>
      <c r="QI48" s="57"/>
      <c r="QJ48" s="57"/>
      <c r="QK48" s="57"/>
      <c r="QL48" s="57"/>
      <c r="QM48" s="57"/>
      <c r="QN48" s="57"/>
      <c r="QO48" s="57"/>
      <c r="QP48" s="57"/>
      <c r="QQ48" s="57"/>
      <c r="QR48" s="57"/>
      <c r="QS48" s="57"/>
      <c r="QT48" s="57"/>
      <c r="QU48" s="57"/>
      <c r="QV48" s="57"/>
      <c r="QW48" s="57"/>
      <c r="QX48" s="57"/>
      <c r="QY48" s="57"/>
      <c r="QZ48" s="57"/>
      <c r="RA48" s="57"/>
      <c r="RB48" s="57"/>
      <c r="RC48" s="57"/>
      <c r="RD48" s="57"/>
      <c r="RE48" s="57"/>
      <c r="RF48" s="57"/>
      <c r="RG48" s="57"/>
      <c r="RH48" s="57"/>
      <c r="RI48" s="57"/>
      <c r="RJ48" s="57"/>
      <c r="RK48" s="57"/>
      <c r="RL48" s="57"/>
      <c r="RM48" s="57"/>
      <c r="RN48" s="57"/>
      <c r="RO48" s="57"/>
      <c r="RP48" s="57"/>
      <c r="RQ48" s="57"/>
      <c r="RR48" s="57"/>
      <c r="RS48" s="57"/>
      <c r="RT48" s="57"/>
      <c r="RU48" s="57"/>
      <c r="RV48" s="57"/>
      <c r="RW48" s="57"/>
      <c r="RX48" s="57"/>
      <c r="RY48" s="57"/>
      <c r="RZ48" s="57"/>
      <c r="SA48" s="57"/>
      <c r="SB48" s="57"/>
      <c r="SC48" s="57"/>
      <c r="SD48" s="57"/>
      <c r="SE48" s="57"/>
      <c r="SF48" s="57"/>
      <c r="SG48" s="57"/>
      <c r="SH48" s="57"/>
      <c r="SI48" s="57"/>
      <c r="SJ48" s="57"/>
      <c r="SK48" s="57"/>
      <c r="SL48" s="57"/>
      <c r="SM48" s="57"/>
      <c r="SN48" s="57"/>
      <c r="SO48" s="57"/>
      <c r="SP48" s="57"/>
      <c r="SQ48" s="57"/>
      <c r="SR48" s="57"/>
      <c r="SS48" s="57"/>
      <c r="ST48" s="57"/>
      <c r="SU48" s="57"/>
      <c r="SV48" s="57"/>
      <c r="SW48" s="57"/>
      <c r="SX48" s="57"/>
      <c r="SY48" s="57"/>
      <c r="SZ48" s="57"/>
      <c r="TA48" s="57"/>
      <c r="TB48" s="57"/>
      <c r="TC48" s="57"/>
      <c r="TD48" s="57"/>
      <c r="TE48" s="57"/>
      <c r="TF48" s="57"/>
      <c r="TG48" s="57"/>
      <c r="TH48" s="57"/>
      <c r="TI48" s="57"/>
      <c r="TJ48" s="57"/>
      <c r="TK48" s="57"/>
      <c r="TL48" s="57"/>
      <c r="TM48" s="57"/>
      <c r="TN48" s="57"/>
      <c r="TO48" s="57"/>
      <c r="TP48" s="57"/>
      <c r="TQ48" s="57"/>
      <c r="TR48" s="57"/>
      <c r="TS48" s="57"/>
      <c r="TT48" s="57"/>
      <c r="TU48" s="57"/>
      <c r="TV48" s="57"/>
      <c r="TW48" s="57"/>
      <c r="TX48" s="57"/>
      <c r="TY48" s="57"/>
      <c r="TZ48" s="57"/>
      <c r="UA48" s="57"/>
      <c r="UB48" s="57"/>
      <c r="UC48" s="57"/>
      <c r="UD48" s="57"/>
      <c r="UE48" s="57"/>
      <c r="UF48" s="57"/>
      <c r="UG48" s="57"/>
      <c r="UH48" s="57"/>
      <c r="UI48" s="57"/>
      <c r="UJ48" s="57"/>
      <c r="UK48" s="57"/>
      <c r="UL48" s="57"/>
      <c r="UM48" s="57"/>
      <c r="UN48" s="57"/>
      <c r="UO48" s="57"/>
      <c r="UP48" s="57"/>
      <c r="UQ48" s="57"/>
      <c r="UR48" s="57"/>
      <c r="US48" s="57"/>
      <c r="UT48" s="57"/>
      <c r="UU48" s="57"/>
      <c r="UV48" s="57"/>
      <c r="UW48" s="57"/>
      <c r="UX48" s="57"/>
      <c r="UY48" s="57"/>
      <c r="UZ48" s="57"/>
      <c r="VA48" s="57"/>
      <c r="VB48" s="57"/>
      <c r="VC48" s="57"/>
      <c r="VD48" s="57"/>
      <c r="VE48" s="57"/>
      <c r="VF48" s="57"/>
      <c r="VG48" s="57"/>
      <c r="VH48" s="57"/>
      <c r="VI48" s="57"/>
      <c r="VJ48" s="57"/>
      <c r="VK48" s="57"/>
      <c r="VL48" s="57"/>
      <c r="VM48" s="57"/>
      <c r="VN48" s="57"/>
      <c r="VO48" s="57"/>
      <c r="VP48" s="57"/>
      <c r="VQ48" s="57"/>
      <c r="VR48" s="57"/>
      <c r="VS48" s="57"/>
      <c r="VT48" s="57"/>
      <c r="VU48" s="57"/>
      <c r="VV48" s="57"/>
      <c r="VW48" s="57"/>
      <c r="VX48" s="57"/>
      <c r="VY48" s="57"/>
      <c r="VZ48" s="57"/>
      <c r="WA48" s="57"/>
      <c r="WB48" s="57"/>
      <c r="WC48" s="57"/>
      <c r="WD48" s="57"/>
      <c r="WE48" s="57"/>
      <c r="WF48" s="57"/>
      <c r="WG48" s="57"/>
      <c r="WH48" s="57"/>
      <c r="WI48" s="57"/>
      <c r="WJ48" s="57"/>
      <c r="WK48" s="57"/>
      <c r="WL48" s="57"/>
      <c r="WM48" s="57"/>
      <c r="WN48" s="57"/>
      <c r="WO48" s="57"/>
      <c r="WP48" s="57"/>
      <c r="WQ48" s="57"/>
      <c r="WR48" s="57"/>
      <c r="WS48" s="57"/>
      <c r="WT48" s="57"/>
      <c r="WU48" s="57"/>
      <c r="WV48" s="57"/>
      <c r="WW48" s="57"/>
      <c r="WX48" s="57"/>
      <c r="WY48" s="57"/>
      <c r="WZ48" s="57"/>
      <c r="XA48" s="57"/>
      <c r="XB48" s="57"/>
      <c r="XC48" s="57"/>
      <c r="XD48" s="57"/>
      <c r="XE48" s="57"/>
      <c r="XF48" s="57"/>
      <c r="XG48" s="57"/>
      <c r="XH48" s="57"/>
      <c r="XI48" s="57"/>
      <c r="XJ48" s="57"/>
      <c r="XK48" s="57"/>
      <c r="XL48" s="57"/>
      <c r="XM48" s="57"/>
      <c r="XN48" s="57"/>
      <c r="XO48" s="57"/>
      <c r="XP48" s="57"/>
      <c r="XQ48" s="57"/>
      <c r="XR48" s="57"/>
      <c r="XS48" s="57"/>
      <c r="XT48" s="57"/>
      <c r="XU48" s="57"/>
      <c r="XV48" s="57"/>
      <c r="XW48" s="57"/>
      <c r="XX48" s="57"/>
      <c r="XY48" s="57"/>
      <c r="XZ48" s="57"/>
      <c r="YA48" s="57"/>
      <c r="YB48" s="57"/>
      <c r="YC48" s="57"/>
      <c r="YD48" s="57"/>
      <c r="YE48" s="57"/>
      <c r="YF48" s="57"/>
      <c r="YG48" s="57"/>
      <c r="YH48" s="57"/>
      <c r="YI48" s="57"/>
      <c r="YJ48" s="57"/>
      <c r="YK48" s="57"/>
      <c r="YL48" s="57"/>
      <c r="YM48" s="57"/>
      <c r="YN48" s="57"/>
      <c r="YO48" s="57"/>
      <c r="YP48" s="57"/>
      <c r="YQ48" s="57"/>
      <c r="YR48" s="57"/>
      <c r="YS48" s="57"/>
      <c r="YT48" s="57"/>
      <c r="YU48" s="57"/>
      <c r="YV48" s="57"/>
      <c r="YW48" s="57"/>
      <c r="YX48" s="57"/>
      <c r="YY48" s="57"/>
      <c r="YZ48" s="57"/>
      <c r="ZA48" s="57"/>
      <c r="ZB48" s="57"/>
      <c r="ZC48" s="57"/>
      <c r="ZD48" s="57"/>
      <c r="ZE48" s="57"/>
      <c r="ZF48" s="57"/>
      <c r="ZG48" s="57"/>
      <c r="ZH48" s="57"/>
      <c r="ZI48" s="57"/>
      <c r="ZJ48" s="57"/>
      <c r="ZK48" s="57"/>
      <c r="ZL48" s="57"/>
      <c r="ZM48" s="57"/>
      <c r="ZN48" s="57"/>
      <c r="ZO48" s="57"/>
      <c r="ZP48" s="57"/>
      <c r="ZQ48" s="57"/>
      <c r="ZR48" s="57"/>
      <c r="ZS48" s="57"/>
      <c r="ZT48" s="57"/>
      <c r="ZU48" s="57"/>
      <c r="ZV48" s="57"/>
      <c r="ZW48" s="57"/>
      <c r="ZX48" s="57"/>
      <c r="ZY48" s="57"/>
      <c r="ZZ48" s="57"/>
      <c r="AAA48" s="57"/>
      <c r="AAB48" s="57"/>
      <c r="AAC48" s="57"/>
      <c r="AAD48" s="57"/>
      <c r="AAE48" s="57"/>
      <c r="AAF48" s="57"/>
      <c r="AAG48" s="57"/>
      <c r="AAH48" s="57"/>
      <c r="AAI48" s="57"/>
      <c r="AAJ48" s="57"/>
      <c r="AAK48" s="57"/>
      <c r="AAL48" s="57"/>
      <c r="AAM48" s="57"/>
      <c r="AAN48" s="57"/>
      <c r="AAO48" s="57"/>
      <c r="AAP48" s="57"/>
      <c r="AAQ48" s="57"/>
      <c r="AAR48" s="57"/>
      <c r="AAS48" s="57"/>
      <c r="AAT48" s="57"/>
      <c r="AAU48" s="57"/>
      <c r="AAV48" s="57"/>
      <c r="AAW48" s="57"/>
      <c r="AAX48" s="57"/>
      <c r="AAY48" s="57"/>
      <c r="AAZ48" s="57"/>
      <c r="ABA48" s="57"/>
      <c r="ABB48" s="57"/>
      <c r="ABC48" s="57"/>
      <c r="ABD48" s="57"/>
      <c r="ABE48" s="57"/>
      <c r="ABF48" s="57"/>
      <c r="ABG48" s="57"/>
      <c r="ABH48" s="57"/>
      <c r="ABI48" s="57"/>
      <c r="ABJ48" s="57"/>
      <c r="ABK48" s="57"/>
      <c r="ABL48" s="57"/>
      <c r="ABM48" s="57"/>
      <c r="ABN48" s="57"/>
      <c r="ABO48" s="57"/>
      <c r="ABP48" s="57"/>
      <c r="ABQ48" s="57"/>
      <c r="ABR48" s="57"/>
      <c r="ABS48" s="57"/>
      <c r="ABT48" s="57"/>
      <c r="ABU48" s="57"/>
      <c r="ABV48" s="57"/>
      <c r="ABW48" s="57"/>
      <c r="ABX48" s="57"/>
      <c r="ABY48" s="57"/>
      <c r="ABZ48" s="57"/>
      <c r="ACA48" s="57"/>
      <c r="ACB48" s="57"/>
      <c r="ACC48" s="57"/>
      <c r="ACD48" s="57"/>
      <c r="ACE48" s="57"/>
      <c r="ACF48" s="57"/>
      <c r="ACG48" s="57"/>
      <c r="ACH48" s="57"/>
      <c r="ACI48" s="57"/>
      <c r="ACJ48" s="57"/>
      <c r="ACK48" s="57"/>
      <c r="ACL48" s="57"/>
      <c r="ACM48" s="57"/>
      <c r="ACN48" s="57"/>
      <c r="ACO48" s="57"/>
      <c r="ACP48" s="57"/>
      <c r="ACQ48" s="57"/>
      <c r="ACR48" s="57"/>
      <c r="ACS48" s="57"/>
      <c r="ACT48" s="57"/>
      <c r="ACU48" s="57"/>
      <c r="ACV48" s="57"/>
      <c r="ACW48" s="57"/>
      <c r="ACX48" s="57"/>
      <c r="ACY48" s="57"/>
      <c r="ACZ48" s="57"/>
      <c r="ADA48" s="57"/>
      <c r="ADB48" s="57"/>
      <c r="ADC48" s="57"/>
      <c r="ADD48" s="57"/>
      <c r="ADE48" s="57"/>
      <c r="ADF48" s="57"/>
      <c r="ADG48" s="57"/>
      <c r="ADH48" s="57"/>
      <c r="ADI48" s="57"/>
      <c r="ADJ48" s="57"/>
      <c r="ADK48" s="57"/>
      <c r="ADL48" s="57"/>
      <c r="ADM48" s="57"/>
      <c r="ADN48" s="57"/>
      <c r="ADO48" s="57"/>
      <c r="ADP48" s="57"/>
      <c r="ADQ48" s="57"/>
      <c r="ADR48" s="57"/>
      <c r="ADS48" s="57"/>
      <c r="ADT48" s="57"/>
      <c r="ADU48" s="57"/>
      <c r="ADV48" s="57"/>
      <c r="ADW48" s="57"/>
      <c r="ADX48" s="57"/>
      <c r="ADY48" s="57"/>
      <c r="ADZ48" s="57"/>
      <c r="AEA48" s="57"/>
      <c r="AEB48" s="57"/>
      <c r="AEC48" s="57"/>
      <c r="AED48" s="57"/>
      <c r="AEE48" s="57"/>
      <c r="AEF48" s="57"/>
      <c r="AEG48" s="57"/>
      <c r="AEH48" s="57"/>
      <c r="AEI48" s="57"/>
      <c r="AEJ48" s="57"/>
      <c r="AEK48" s="57"/>
      <c r="AEL48" s="57"/>
      <c r="AEM48" s="57"/>
      <c r="AEN48" s="57"/>
      <c r="AEO48" s="57"/>
      <c r="AEP48" s="57"/>
      <c r="AEQ48" s="57"/>
      <c r="AER48" s="57"/>
      <c r="AES48" s="57"/>
      <c r="AET48" s="57"/>
      <c r="AEU48" s="57"/>
      <c r="AEV48" s="57"/>
      <c r="AEW48" s="57"/>
      <c r="AEX48" s="57"/>
      <c r="AEY48" s="57"/>
      <c r="AEZ48" s="57"/>
      <c r="AFA48" s="57"/>
      <c r="AFB48" s="57"/>
      <c r="AFC48" s="57"/>
      <c r="AFD48" s="57"/>
      <c r="AFE48" s="57"/>
      <c r="AFF48" s="57"/>
      <c r="AFG48" s="57"/>
      <c r="AFH48" s="57"/>
      <c r="AFI48" s="57"/>
      <c r="AFJ48" s="57"/>
      <c r="AFK48" s="57"/>
      <c r="AFL48" s="57"/>
      <c r="AFM48" s="57"/>
      <c r="AFN48" s="57"/>
      <c r="AFO48" s="57"/>
      <c r="AFP48" s="57"/>
      <c r="AFQ48" s="57"/>
      <c r="AFR48" s="57"/>
      <c r="AFS48" s="57"/>
      <c r="AFT48" s="57"/>
      <c r="AFU48" s="57"/>
      <c r="AFV48" s="57"/>
      <c r="AFW48" s="57"/>
      <c r="AFX48" s="57"/>
      <c r="AFY48" s="57"/>
      <c r="AFZ48" s="57"/>
      <c r="AGA48" s="57"/>
      <c r="AGB48" s="57"/>
      <c r="AGC48" s="57"/>
      <c r="AGD48" s="57"/>
      <c r="AGE48" s="57"/>
      <c r="AGF48" s="57"/>
      <c r="AGG48" s="57"/>
      <c r="AGH48" s="57"/>
      <c r="AGI48" s="57"/>
      <c r="AGJ48" s="57"/>
      <c r="AGK48" s="57"/>
      <c r="AGL48" s="57"/>
      <c r="AGM48" s="57"/>
      <c r="AGN48" s="57"/>
      <c r="AGO48" s="57"/>
      <c r="AGP48" s="57"/>
      <c r="AGQ48" s="57"/>
      <c r="AGR48" s="57"/>
      <c r="AGS48" s="57"/>
      <c r="AGT48" s="57"/>
      <c r="AGU48" s="57"/>
      <c r="AGV48" s="57"/>
      <c r="AGW48" s="57"/>
      <c r="AGX48" s="57"/>
      <c r="AGY48" s="57"/>
      <c r="AGZ48" s="57"/>
      <c r="AHA48" s="57"/>
      <c r="AHB48" s="57"/>
      <c r="AHC48" s="57"/>
      <c r="AHD48" s="57"/>
      <c r="AHE48" s="57"/>
      <c r="AHF48" s="57"/>
      <c r="AHG48" s="57"/>
      <c r="AHH48" s="57"/>
      <c r="AHI48" s="57"/>
      <c r="AHJ48" s="57"/>
      <c r="AHK48" s="57"/>
      <c r="AHL48" s="57"/>
      <c r="AHM48" s="57"/>
      <c r="AHN48" s="57"/>
      <c r="AHO48" s="57"/>
      <c r="AHP48" s="57"/>
      <c r="AHQ48" s="57"/>
      <c r="AHR48" s="57"/>
      <c r="AHS48" s="57"/>
      <c r="AHT48" s="57"/>
      <c r="AHU48" s="57"/>
      <c r="AHV48" s="57"/>
      <c r="AHW48" s="57"/>
      <c r="AHX48" s="57"/>
      <c r="AHY48" s="57"/>
      <c r="AHZ48" s="57"/>
      <c r="AIA48" s="57"/>
      <c r="AIB48" s="57"/>
      <c r="AIC48" s="57"/>
      <c r="AID48" s="57"/>
      <c r="AIE48" s="57"/>
      <c r="AIF48" s="57"/>
      <c r="AIG48" s="57"/>
      <c r="AIH48" s="57"/>
      <c r="AII48" s="57"/>
      <c r="AIJ48" s="57"/>
      <c r="AIK48" s="57"/>
      <c r="AIL48" s="57"/>
      <c r="AIM48" s="57"/>
      <c r="AIN48" s="57"/>
      <c r="AIO48" s="57"/>
      <c r="AIP48" s="57"/>
      <c r="AIQ48" s="57"/>
      <c r="AIR48" s="57"/>
      <c r="AIS48" s="57"/>
      <c r="AIT48" s="57"/>
      <c r="AIU48" s="57"/>
      <c r="AIV48" s="57"/>
      <c r="AIW48" s="57"/>
      <c r="AIX48" s="57"/>
      <c r="AIY48" s="57"/>
      <c r="AIZ48" s="57"/>
      <c r="AJA48" s="57"/>
      <c r="AJB48" s="57"/>
      <c r="AJC48" s="57"/>
      <c r="AJD48" s="57"/>
      <c r="AJE48" s="57"/>
      <c r="AJF48" s="57"/>
      <c r="AJG48" s="57"/>
      <c r="AJH48" s="57"/>
      <c r="AJI48" s="57"/>
      <c r="AJJ48" s="57"/>
      <c r="AJK48" s="57"/>
      <c r="AJL48" s="57"/>
      <c r="AJM48" s="57"/>
      <c r="AJN48" s="57"/>
      <c r="AJO48" s="57"/>
      <c r="AJP48" s="57"/>
      <c r="AJQ48" s="57"/>
      <c r="AJR48" s="57"/>
      <c r="AJS48" s="57"/>
      <c r="AJT48" s="57"/>
      <c r="AJU48" s="57"/>
      <c r="AJV48" s="57"/>
      <c r="AJW48" s="57"/>
      <c r="AJX48" s="57"/>
      <c r="AJY48" s="57"/>
      <c r="AJZ48" s="57"/>
      <c r="AKA48" s="57"/>
      <c r="AKB48" s="57"/>
      <c r="AKC48" s="57"/>
      <c r="AKD48" s="57"/>
      <c r="AKE48" s="57"/>
      <c r="AKF48" s="57"/>
      <c r="AKG48" s="57"/>
      <c r="AKH48" s="57"/>
      <c r="AKI48" s="57"/>
      <c r="AKJ48" s="57"/>
      <c r="AKK48" s="57"/>
      <c r="AKL48" s="57"/>
      <c r="AKM48" s="57"/>
      <c r="AKN48" s="57"/>
      <c r="AKO48" s="57"/>
      <c r="AKP48" s="57"/>
      <c r="AKQ48" s="57"/>
      <c r="AKR48" s="57"/>
      <c r="AKS48" s="57"/>
      <c r="AKT48" s="57"/>
      <c r="AKU48" s="57"/>
      <c r="AKV48" s="57"/>
      <c r="AKW48" s="57"/>
      <c r="AKX48" s="57"/>
      <c r="AKY48" s="57"/>
      <c r="AKZ48" s="57"/>
      <c r="ALA48" s="57"/>
      <c r="ALB48" s="57"/>
      <c r="ALC48" s="57"/>
      <c r="ALD48" s="57"/>
      <c r="ALE48" s="57"/>
      <c r="ALF48" s="57"/>
      <c r="ALG48" s="57"/>
      <c r="ALH48" s="57"/>
      <c r="ALI48" s="57"/>
      <c r="ALJ48" s="57"/>
      <c r="ALK48" s="57"/>
      <c r="ALL48" s="57"/>
      <c r="ALM48" s="57"/>
      <c r="ALN48" s="57"/>
      <c r="ALO48" s="57"/>
      <c r="ALP48" s="57"/>
      <c r="ALQ48" s="57"/>
      <c r="ALR48" s="57"/>
      <c r="ALS48" s="57"/>
      <c r="ALT48" s="57"/>
      <c r="ALU48" s="57"/>
      <c r="ALV48" s="57"/>
      <c r="ALW48" s="57"/>
      <c r="ALX48" s="57"/>
      <c r="ALY48" s="57"/>
      <c r="ALZ48" s="57"/>
      <c r="AMA48" s="57"/>
      <c r="AMB48" s="57"/>
      <c r="AMC48" s="57"/>
      <c r="AMD48" s="57"/>
      <c r="AME48" s="57"/>
      <c r="AMF48" s="57"/>
      <c r="AMG48" s="57"/>
      <c r="AMH48" s="57"/>
      <c r="AMI48" s="57"/>
      <c r="AMJ48" s="57"/>
    </row>
    <row r="49" s="34" customFormat="true" ht="58.2" hidden="false" customHeight="false" outlineLevel="0" collapsed="false">
      <c r="A49" s="51" t="s">
        <v>148</v>
      </c>
      <c r="B49" s="51" t="s">
        <v>149</v>
      </c>
      <c r="C49" s="52" t="s">
        <v>31</v>
      </c>
      <c r="D49" s="53" t="s">
        <v>150</v>
      </c>
      <c r="E49" s="54" t="s">
        <v>13</v>
      </c>
      <c r="F49" s="52" t="s">
        <v>13</v>
      </c>
      <c r="G49" s="55" t="n">
        <v>39.43</v>
      </c>
      <c r="H49" s="7"/>
      <c r="I49" s="7"/>
      <c r="J49" s="7"/>
      <c r="K49" s="56"/>
      <c r="L49" s="42" t="s">
        <v>130</v>
      </c>
      <c r="M49" s="4"/>
      <c r="N49" s="4"/>
      <c r="O49" s="4"/>
      <c r="P49" s="4"/>
      <c r="Q49" s="4"/>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57"/>
      <c r="BM49" s="57"/>
      <c r="BN49" s="57"/>
      <c r="BO49" s="57"/>
      <c r="BP49" s="57"/>
      <c r="BQ49" s="57"/>
      <c r="BR49" s="57"/>
      <c r="BS49" s="57"/>
      <c r="BT49" s="57"/>
      <c r="BU49" s="57"/>
      <c r="BV49" s="57"/>
      <c r="BW49" s="57"/>
      <c r="BX49" s="57"/>
      <c r="BY49" s="57"/>
      <c r="BZ49" s="57"/>
      <c r="CA49" s="57"/>
      <c r="CB49" s="57"/>
      <c r="CC49" s="57"/>
      <c r="CD49" s="57"/>
      <c r="CE49" s="57"/>
      <c r="CF49" s="57"/>
      <c r="CG49" s="57"/>
      <c r="CH49" s="57"/>
      <c r="CI49" s="57"/>
      <c r="CJ49" s="57"/>
      <c r="CK49" s="57"/>
      <c r="CL49" s="57"/>
      <c r="CM49" s="57"/>
      <c r="CN49" s="57"/>
      <c r="CO49" s="57"/>
      <c r="CP49" s="57"/>
      <c r="CQ49" s="57"/>
      <c r="CR49" s="57"/>
      <c r="CS49" s="57"/>
      <c r="CT49" s="57"/>
      <c r="CU49" s="57"/>
      <c r="CV49" s="57"/>
      <c r="CW49" s="57"/>
      <c r="CX49" s="57"/>
      <c r="CY49" s="57"/>
      <c r="CZ49" s="57"/>
      <c r="DA49" s="57"/>
      <c r="DB49" s="57"/>
      <c r="DC49" s="57"/>
      <c r="DD49" s="57"/>
      <c r="DE49" s="57"/>
      <c r="DF49" s="57"/>
      <c r="DG49" s="57"/>
      <c r="DH49" s="57"/>
      <c r="DI49" s="57"/>
      <c r="DJ49" s="57"/>
      <c r="DK49" s="57"/>
      <c r="DL49" s="57"/>
      <c r="DM49" s="57"/>
      <c r="DN49" s="57"/>
      <c r="DO49" s="57"/>
      <c r="DP49" s="57"/>
      <c r="DQ49" s="57"/>
      <c r="DR49" s="57"/>
      <c r="DS49" s="57"/>
      <c r="DT49" s="57"/>
      <c r="DU49" s="57"/>
      <c r="DV49" s="57"/>
      <c r="DW49" s="57"/>
      <c r="DX49" s="57"/>
      <c r="DY49" s="57"/>
      <c r="DZ49" s="57"/>
      <c r="EA49" s="57"/>
      <c r="EB49" s="57"/>
      <c r="EC49" s="57"/>
      <c r="ED49" s="57"/>
      <c r="EE49" s="57"/>
      <c r="EF49" s="57"/>
      <c r="EG49" s="57"/>
      <c r="EH49" s="57"/>
      <c r="EI49" s="57"/>
      <c r="EJ49" s="57"/>
      <c r="EK49" s="57"/>
      <c r="EL49" s="57"/>
      <c r="EM49" s="57"/>
      <c r="EN49" s="57"/>
      <c r="EO49" s="57"/>
      <c r="EP49" s="57"/>
      <c r="EQ49" s="57"/>
      <c r="ER49" s="57"/>
      <c r="ES49" s="57"/>
      <c r="ET49" s="57"/>
      <c r="EU49" s="57"/>
      <c r="EV49" s="57"/>
      <c r="EW49" s="57"/>
      <c r="EX49" s="57"/>
      <c r="EY49" s="57"/>
      <c r="EZ49" s="57"/>
      <c r="FA49" s="57"/>
      <c r="FB49" s="57"/>
      <c r="FC49" s="57"/>
      <c r="FD49" s="57"/>
      <c r="FE49" s="57"/>
      <c r="FF49" s="57"/>
      <c r="FG49" s="57"/>
      <c r="FH49" s="57"/>
      <c r="FI49" s="57"/>
      <c r="FJ49" s="57"/>
      <c r="FK49" s="57"/>
      <c r="FL49" s="57"/>
      <c r="FM49" s="57"/>
      <c r="FN49" s="57"/>
      <c r="FO49" s="57"/>
      <c r="FP49" s="57"/>
      <c r="FQ49" s="57"/>
      <c r="FR49" s="57"/>
      <c r="FS49" s="57"/>
      <c r="FT49" s="57"/>
      <c r="FU49" s="57"/>
      <c r="FV49" s="57"/>
      <c r="FW49" s="57"/>
      <c r="FX49" s="57"/>
      <c r="FY49" s="57"/>
      <c r="FZ49" s="57"/>
      <c r="GA49" s="57"/>
      <c r="GB49" s="57"/>
      <c r="GC49" s="57"/>
      <c r="GD49" s="57"/>
      <c r="GE49" s="57"/>
      <c r="GF49" s="57"/>
      <c r="GG49" s="57"/>
      <c r="GH49" s="57"/>
      <c r="GI49" s="57"/>
      <c r="GJ49" s="57"/>
      <c r="GK49" s="57"/>
      <c r="GL49" s="57"/>
      <c r="GM49" s="57"/>
      <c r="GN49" s="57"/>
      <c r="GO49" s="57"/>
      <c r="GP49" s="57"/>
      <c r="GQ49" s="57"/>
      <c r="GR49" s="57"/>
      <c r="GS49" s="57"/>
      <c r="GT49" s="57"/>
      <c r="GU49" s="57"/>
      <c r="GV49" s="57"/>
      <c r="GW49" s="57"/>
      <c r="GX49" s="57"/>
      <c r="GY49" s="57"/>
      <c r="GZ49" s="57"/>
      <c r="HA49" s="57"/>
      <c r="HB49" s="57"/>
      <c r="HC49" s="57"/>
      <c r="HD49" s="57"/>
      <c r="HE49" s="57"/>
      <c r="HF49" s="57"/>
      <c r="HG49" s="57"/>
      <c r="HH49" s="57"/>
      <c r="HI49" s="57"/>
      <c r="HJ49" s="57"/>
      <c r="HK49" s="57"/>
      <c r="HL49" s="57"/>
      <c r="HM49" s="57"/>
      <c r="HN49" s="57"/>
      <c r="HO49" s="57"/>
      <c r="HP49" s="57"/>
      <c r="HQ49" s="57"/>
      <c r="HR49" s="57"/>
      <c r="HS49" s="57"/>
      <c r="HT49" s="57"/>
      <c r="HU49" s="57"/>
      <c r="HV49" s="57"/>
      <c r="HW49" s="57"/>
      <c r="HX49" s="57"/>
      <c r="HY49" s="57"/>
      <c r="HZ49" s="57"/>
      <c r="IA49" s="57"/>
      <c r="IB49" s="57"/>
      <c r="IC49" s="57"/>
      <c r="ID49" s="57"/>
      <c r="IE49" s="57"/>
      <c r="IF49" s="57"/>
      <c r="IG49" s="57"/>
      <c r="IH49" s="57"/>
      <c r="II49" s="57"/>
      <c r="IJ49" s="57"/>
      <c r="IK49" s="57"/>
      <c r="IL49" s="57"/>
      <c r="IM49" s="57"/>
      <c r="IN49" s="57"/>
      <c r="IO49" s="57"/>
      <c r="IP49" s="57"/>
      <c r="IQ49" s="57"/>
      <c r="IR49" s="57"/>
      <c r="IS49" s="57"/>
      <c r="IT49" s="57"/>
      <c r="IU49" s="57"/>
      <c r="IV49" s="57"/>
      <c r="IW49" s="57"/>
      <c r="IX49" s="57"/>
      <c r="IY49" s="57"/>
      <c r="IZ49" s="57"/>
      <c r="JA49" s="57"/>
      <c r="JB49" s="57"/>
      <c r="JC49" s="57"/>
      <c r="JD49" s="57"/>
      <c r="JE49" s="57"/>
      <c r="JF49" s="57"/>
      <c r="JG49" s="57"/>
      <c r="JH49" s="57"/>
      <c r="JI49" s="57"/>
      <c r="JJ49" s="57"/>
      <c r="JK49" s="57"/>
      <c r="JL49" s="57"/>
      <c r="JM49" s="57"/>
      <c r="JN49" s="57"/>
      <c r="JO49" s="57"/>
      <c r="JP49" s="57"/>
      <c r="JQ49" s="57"/>
      <c r="JR49" s="57"/>
      <c r="JS49" s="57"/>
      <c r="JT49" s="57"/>
      <c r="JU49" s="57"/>
      <c r="JV49" s="57"/>
      <c r="JW49" s="57"/>
      <c r="JX49" s="57"/>
      <c r="JY49" s="57"/>
      <c r="JZ49" s="57"/>
      <c r="KA49" s="57"/>
      <c r="KB49" s="57"/>
      <c r="KC49" s="57"/>
      <c r="KD49" s="57"/>
      <c r="KE49" s="57"/>
      <c r="KF49" s="57"/>
      <c r="KG49" s="57"/>
      <c r="KH49" s="57"/>
      <c r="KI49" s="57"/>
      <c r="KJ49" s="57"/>
      <c r="KK49" s="57"/>
      <c r="KL49" s="57"/>
      <c r="KM49" s="57"/>
      <c r="KN49" s="57"/>
      <c r="KO49" s="57"/>
      <c r="KP49" s="57"/>
      <c r="KQ49" s="57"/>
      <c r="KR49" s="57"/>
      <c r="KS49" s="57"/>
      <c r="KT49" s="57"/>
      <c r="KU49" s="57"/>
      <c r="KV49" s="57"/>
      <c r="KW49" s="57"/>
      <c r="KX49" s="57"/>
      <c r="KY49" s="57"/>
      <c r="KZ49" s="57"/>
      <c r="LA49" s="57"/>
      <c r="LB49" s="57"/>
      <c r="LC49" s="57"/>
      <c r="LD49" s="57"/>
      <c r="LE49" s="57"/>
      <c r="LF49" s="57"/>
      <c r="LG49" s="57"/>
      <c r="LH49" s="57"/>
      <c r="LI49" s="57"/>
      <c r="LJ49" s="57"/>
      <c r="LK49" s="57"/>
      <c r="LL49" s="57"/>
      <c r="LM49" s="57"/>
      <c r="LN49" s="57"/>
      <c r="LO49" s="57"/>
      <c r="LP49" s="57"/>
      <c r="LQ49" s="57"/>
      <c r="LR49" s="57"/>
      <c r="LS49" s="57"/>
      <c r="LT49" s="57"/>
      <c r="LU49" s="57"/>
      <c r="LV49" s="57"/>
      <c r="LW49" s="57"/>
      <c r="LX49" s="57"/>
      <c r="LY49" s="57"/>
      <c r="LZ49" s="57"/>
      <c r="MA49" s="57"/>
      <c r="MB49" s="57"/>
      <c r="MC49" s="57"/>
      <c r="MD49" s="57"/>
      <c r="ME49" s="57"/>
      <c r="MF49" s="57"/>
      <c r="MG49" s="57"/>
      <c r="MH49" s="57"/>
      <c r="MI49" s="57"/>
      <c r="MJ49" s="57"/>
      <c r="MK49" s="57"/>
      <c r="ML49" s="57"/>
      <c r="MM49" s="57"/>
      <c r="MN49" s="57"/>
      <c r="MO49" s="57"/>
      <c r="MP49" s="57"/>
      <c r="MQ49" s="57"/>
      <c r="MR49" s="57"/>
      <c r="MS49" s="57"/>
      <c r="MT49" s="57"/>
      <c r="MU49" s="57"/>
      <c r="MV49" s="57"/>
      <c r="MW49" s="57"/>
      <c r="MX49" s="57"/>
      <c r="MY49" s="57"/>
      <c r="MZ49" s="57"/>
      <c r="NA49" s="57"/>
      <c r="NB49" s="57"/>
      <c r="NC49" s="57"/>
      <c r="ND49" s="57"/>
      <c r="NE49" s="57"/>
      <c r="NF49" s="57"/>
      <c r="NG49" s="57"/>
      <c r="NH49" s="57"/>
      <c r="NI49" s="57"/>
      <c r="NJ49" s="57"/>
      <c r="NK49" s="57"/>
      <c r="NL49" s="57"/>
      <c r="NM49" s="57"/>
      <c r="NN49" s="57"/>
      <c r="NO49" s="57"/>
      <c r="NP49" s="57"/>
      <c r="NQ49" s="57"/>
      <c r="NR49" s="57"/>
      <c r="NS49" s="57"/>
      <c r="NT49" s="57"/>
      <c r="NU49" s="57"/>
      <c r="NV49" s="57"/>
      <c r="NW49" s="57"/>
      <c r="NX49" s="57"/>
      <c r="NY49" s="57"/>
      <c r="NZ49" s="57"/>
      <c r="OA49" s="57"/>
      <c r="OB49" s="57"/>
      <c r="OC49" s="57"/>
      <c r="OD49" s="57"/>
      <c r="OE49" s="57"/>
      <c r="OF49" s="57"/>
      <c r="OG49" s="57"/>
      <c r="OH49" s="57"/>
      <c r="OI49" s="57"/>
      <c r="OJ49" s="57"/>
      <c r="OK49" s="57"/>
      <c r="OL49" s="57"/>
      <c r="OM49" s="57"/>
      <c r="ON49" s="57"/>
      <c r="OO49" s="57"/>
      <c r="OP49" s="57"/>
      <c r="OQ49" s="57"/>
      <c r="OR49" s="57"/>
      <c r="OS49" s="57"/>
      <c r="OT49" s="57"/>
      <c r="OU49" s="57"/>
      <c r="OV49" s="57"/>
      <c r="OW49" s="57"/>
      <c r="OX49" s="57"/>
      <c r="OY49" s="57"/>
      <c r="OZ49" s="57"/>
      <c r="PA49" s="57"/>
      <c r="PB49" s="57"/>
      <c r="PC49" s="57"/>
      <c r="PD49" s="57"/>
      <c r="PE49" s="57"/>
      <c r="PF49" s="57"/>
      <c r="PG49" s="57"/>
      <c r="PH49" s="57"/>
      <c r="PI49" s="57"/>
      <c r="PJ49" s="57"/>
      <c r="PK49" s="57"/>
      <c r="PL49" s="57"/>
      <c r="PM49" s="57"/>
      <c r="PN49" s="57"/>
      <c r="PO49" s="57"/>
      <c r="PP49" s="57"/>
      <c r="PQ49" s="57"/>
      <c r="PR49" s="57"/>
      <c r="PS49" s="57"/>
      <c r="PT49" s="57"/>
      <c r="PU49" s="57"/>
      <c r="PV49" s="57"/>
      <c r="PW49" s="57"/>
      <c r="PX49" s="57"/>
      <c r="PY49" s="57"/>
      <c r="PZ49" s="57"/>
      <c r="QA49" s="57"/>
      <c r="QB49" s="57"/>
      <c r="QC49" s="57"/>
      <c r="QD49" s="57"/>
      <c r="QE49" s="57"/>
      <c r="QF49" s="57"/>
      <c r="QG49" s="57"/>
      <c r="QH49" s="57"/>
      <c r="QI49" s="57"/>
      <c r="QJ49" s="57"/>
      <c r="QK49" s="57"/>
      <c r="QL49" s="57"/>
      <c r="QM49" s="57"/>
      <c r="QN49" s="57"/>
      <c r="QO49" s="57"/>
      <c r="QP49" s="57"/>
      <c r="QQ49" s="57"/>
      <c r="QR49" s="57"/>
      <c r="QS49" s="57"/>
      <c r="QT49" s="57"/>
      <c r="QU49" s="57"/>
      <c r="QV49" s="57"/>
      <c r="QW49" s="57"/>
      <c r="QX49" s="57"/>
      <c r="QY49" s="57"/>
      <c r="QZ49" s="57"/>
      <c r="RA49" s="57"/>
      <c r="RB49" s="57"/>
      <c r="RC49" s="57"/>
      <c r="RD49" s="57"/>
      <c r="RE49" s="57"/>
      <c r="RF49" s="57"/>
      <c r="RG49" s="57"/>
      <c r="RH49" s="57"/>
      <c r="RI49" s="57"/>
      <c r="RJ49" s="57"/>
      <c r="RK49" s="57"/>
      <c r="RL49" s="57"/>
      <c r="RM49" s="57"/>
      <c r="RN49" s="57"/>
      <c r="RO49" s="57"/>
      <c r="RP49" s="57"/>
      <c r="RQ49" s="57"/>
      <c r="RR49" s="57"/>
      <c r="RS49" s="57"/>
      <c r="RT49" s="57"/>
      <c r="RU49" s="57"/>
      <c r="RV49" s="57"/>
      <c r="RW49" s="57"/>
      <c r="RX49" s="57"/>
      <c r="RY49" s="57"/>
      <c r="RZ49" s="57"/>
      <c r="SA49" s="57"/>
      <c r="SB49" s="57"/>
      <c r="SC49" s="57"/>
      <c r="SD49" s="57"/>
      <c r="SE49" s="57"/>
      <c r="SF49" s="57"/>
      <c r="SG49" s="57"/>
      <c r="SH49" s="57"/>
      <c r="SI49" s="57"/>
      <c r="SJ49" s="57"/>
      <c r="SK49" s="57"/>
      <c r="SL49" s="57"/>
      <c r="SM49" s="57"/>
      <c r="SN49" s="57"/>
      <c r="SO49" s="57"/>
      <c r="SP49" s="57"/>
      <c r="SQ49" s="57"/>
      <c r="SR49" s="57"/>
      <c r="SS49" s="57"/>
      <c r="ST49" s="57"/>
      <c r="SU49" s="57"/>
      <c r="SV49" s="57"/>
      <c r="SW49" s="57"/>
      <c r="SX49" s="57"/>
      <c r="SY49" s="57"/>
      <c r="SZ49" s="57"/>
      <c r="TA49" s="57"/>
      <c r="TB49" s="57"/>
      <c r="TC49" s="57"/>
      <c r="TD49" s="57"/>
      <c r="TE49" s="57"/>
      <c r="TF49" s="57"/>
      <c r="TG49" s="57"/>
      <c r="TH49" s="57"/>
      <c r="TI49" s="57"/>
      <c r="TJ49" s="57"/>
      <c r="TK49" s="57"/>
      <c r="TL49" s="57"/>
      <c r="TM49" s="57"/>
      <c r="TN49" s="57"/>
      <c r="TO49" s="57"/>
      <c r="TP49" s="57"/>
      <c r="TQ49" s="57"/>
      <c r="TR49" s="57"/>
      <c r="TS49" s="57"/>
      <c r="TT49" s="57"/>
      <c r="TU49" s="57"/>
      <c r="TV49" s="57"/>
      <c r="TW49" s="57"/>
      <c r="TX49" s="57"/>
      <c r="TY49" s="57"/>
      <c r="TZ49" s="57"/>
      <c r="UA49" s="57"/>
      <c r="UB49" s="57"/>
      <c r="UC49" s="57"/>
      <c r="UD49" s="57"/>
      <c r="UE49" s="57"/>
      <c r="UF49" s="57"/>
      <c r="UG49" s="57"/>
      <c r="UH49" s="57"/>
      <c r="UI49" s="57"/>
      <c r="UJ49" s="57"/>
      <c r="UK49" s="57"/>
      <c r="UL49" s="57"/>
      <c r="UM49" s="57"/>
      <c r="UN49" s="57"/>
      <c r="UO49" s="57"/>
      <c r="UP49" s="57"/>
      <c r="UQ49" s="57"/>
      <c r="UR49" s="57"/>
      <c r="US49" s="57"/>
      <c r="UT49" s="57"/>
      <c r="UU49" s="57"/>
      <c r="UV49" s="57"/>
      <c r="UW49" s="57"/>
      <c r="UX49" s="57"/>
      <c r="UY49" s="57"/>
      <c r="UZ49" s="57"/>
      <c r="VA49" s="57"/>
      <c r="VB49" s="57"/>
      <c r="VC49" s="57"/>
      <c r="VD49" s="57"/>
      <c r="VE49" s="57"/>
      <c r="VF49" s="57"/>
      <c r="VG49" s="57"/>
      <c r="VH49" s="57"/>
      <c r="VI49" s="57"/>
      <c r="VJ49" s="57"/>
      <c r="VK49" s="57"/>
      <c r="VL49" s="57"/>
      <c r="VM49" s="57"/>
      <c r="VN49" s="57"/>
      <c r="VO49" s="57"/>
      <c r="VP49" s="57"/>
      <c r="VQ49" s="57"/>
      <c r="VR49" s="57"/>
      <c r="VS49" s="57"/>
      <c r="VT49" s="57"/>
      <c r="VU49" s="57"/>
      <c r="VV49" s="57"/>
      <c r="VW49" s="57"/>
      <c r="VX49" s="57"/>
      <c r="VY49" s="57"/>
      <c r="VZ49" s="57"/>
      <c r="WA49" s="57"/>
      <c r="WB49" s="57"/>
      <c r="WC49" s="57"/>
      <c r="WD49" s="57"/>
      <c r="WE49" s="57"/>
      <c r="WF49" s="57"/>
      <c r="WG49" s="57"/>
      <c r="WH49" s="57"/>
      <c r="WI49" s="57"/>
      <c r="WJ49" s="57"/>
      <c r="WK49" s="57"/>
      <c r="WL49" s="57"/>
      <c r="WM49" s="57"/>
      <c r="WN49" s="57"/>
      <c r="WO49" s="57"/>
      <c r="WP49" s="57"/>
      <c r="WQ49" s="57"/>
      <c r="WR49" s="57"/>
      <c r="WS49" s="57"/>
      <c r="WT49" s="57"/>
      <c r="WU49" s="57"/>
      <c r="WV49" s="57"/>
      <c r="WW49" s="57"/>
      <c r="WX49" s="57"/>
      <c r="WY49" s="57"/>
      <c r="WZ49" s="57"/>
      <c r="XA49" s="57"/>
      <c r="XB49" s="57"/>
      <c r="XC49" s="57"/>
      <c r="XD49" s="57"/>
      <c r="XE49" s="57"/>
      <c r="XF49" s="57"/>
      <c r="XG49" s="57"/>
      <c r="XH49" s="57"/>
      <c r="XI49" s="57"/>
      <c r="XJ49" s="57"/>
      <c r="XK49" s="57"/>
      <c r="XL49" s="57"/>
      <c r="XM49" s="57"/>
      <c r="XN49" s="57"/>
      <c r="XO49" s="57"/>
      <c r="XP49" s="57"/>
      <c r="XQ49" s="57"/>
      <c r="XR49" s="57"/>
      <c r="XS49" s="57"/>
      <c r="XT49" s="57"/>
      <c r="XU49" s="57"/>
      <c r="XV49" s="57"/>
      <c r="XW49" s="57"/>
      <c r="XX49" s="57"/>
      <c r="XY49" s="57"/>
      <c r="XZ49" s="57"/>
      <c r="YA49" s="57"/>
      <c r="YB49" s="57"/>
      <c r="YC49" s="57"/>
      <c r="YD49" s="57"/>
      <c r="YE49" s="57"/>
      <c r="YF49" s="57"/>
      <c r="YG49" s="57"/>
      <c r="YH49" s="57"/>
      <c r="YI49" s="57"/>
      <c r="YJ49" s="57"/>
      <c r="YK49" s="57"/>
      <c r="YL49" s="57"/>
      <c r="YM49" s="57"/>
      <c r="YN49" s="57"/>
      <c r="YO49" s="57"/>
      <c r="YP49" s="57"/>
      <c r="YQ49" s="57"/>
      <c r="YR49" s="57"/>
      <c r="YS49" s="57"/>
      <c r="YT49" s="57"/>
      <c r="YU49" s="57"/>
      <c r="YV49" s="57"/>
      <c r="YW49" s="57"/>
      <c r="YX49" s="57"/>
      <c r="YY49" s="57"/>
      <c r="YZ49" s="57"/>
      <c r="ZA49" s="57"/>
      <c r="ZB49" s="57"/>
      <c r="ZC49" s="57"/>
      <c r="ZD49" s="57"/>
      <c r="ZE49" s="57"/>
      <c r="ZF49" s="57"/>
      <c r="ZG49" s="57"/>
      <c r="ZH49" s="57"/>
      <c r="ZI49" s="57"/>
      <c r="ZJ49" s="57"/>
      <c r="ZK49" s="57"/>
      <c r="ZL49" s="57"/>
      <c r="ZM49" s="57"/>
      <c r="ZN49" s="57"/>
      <c r="ZO49" s="57"/>
      <c r="ZP49" s="57"/>
      <c r="ZQ49" s="57"/>
      <c r="ZR49" s="57"/>
      <c r="ZS49" s="57"/>
      <c r="ZT49" s="57"/>
      <c r="ZU49" s="57"/>
      <c r="ZV49" s="57"/>
      <c r="ZW49" s="57"/>
      <c r="ZX49" s="57"/>
      <c r="ZY49" s="57"/>
      <c r="ZZ49" s="57"/>
      <c r="AAA49" s="57"/>
      <c r="AAB49" s="57"/>
      <c r="AAC49" s="57"/>
      <c r="AAD49" s="57"/>
      <c r="AAE49" s="57"/>
      <c r="AAF49" s="57"/>
      <c r="AAG49" s="57"/>
      <c r="AAH49" s="57"/>
      <c r="AAI49" s="57"/>
      <c r="AAJ49" s="57"/>
      <c r="AAK49" s="57"/>
      <c r="AAL49" s="57"/>
      <c r="AAM49" s="57"/>
      <c r="AAN49" s="57"/>
      <c r="AAO49" s="57"/>
      <c r="AAP49" s="57"/>
      <c r="AAQ49" s="57"/>
      <c r="AAR49" s="57"/>
      <c r="AAS49" s="57"/>
      <c r="AAT49" s="57"/>
      <c r="AAU49" s="57"/>
      <c r="AAV49" s="57"/>
      <c r="AAW49" s="57"/>
      <c r="AAX49" s="57"/>
      <c r="AAY49" s="57"/>
      <c r="AAZ49" s="57"/>
      <c r="ABA49" s="57"/>
      <c r="ABB49" s="57"/>
      <c r="ABC49" s="57"/>
      <c r="ABD49" s="57"/>
      <c r="ABE49" s="57"/>
      <c r="ABF49" s="57"/>
      <c r="ABG49" s="57"/>
      <c r="ABH49" s="57"/>
      <c r="ABI49" s="57"/>
      <c r="ABJ49" s="57"/>
      <c r="ABK49" s="57"/>
      <c r="ABL49" s="57"/>
      <c r="ABM49" s="57"/>
      <c r="ABN49" s="57"/>
      <c r="ABO49" s="57"/>
      <c r="ABP49" s="57"/>
      <c r="ABQ49" s="57"/>
      <c r="ABR49" s="57"/>
      <c r="ABS49" s="57"/>
      <c r="ABT49" s="57"/>
      <c r="ABU49" s="57"/>
      <c r="ABV49" s="57"/>
      <c r="ABW49" s="57"/>
      <c r="ABX49" s="57"/>
      <c r="ABY49" s="57"/>
      <c r="ABZ49" s="57"/>
      <c r="ACA49" s="57"/>
      <c r="ACB49" s="57"/>
      <c r="ACC49" s="57"/>
      <c r="ACD49" s="57"/>
      <c r="ACE49" s="57"/>
      <c r="ACF49" s="57"/>
      <c r="ACG49" s="57"/>
      <c r="ACH49" s="57"/>
      <c r="ACI49" s="57"/>
      <c r="ACJ49" s="57"/>
      <c r="ACK49" s="57"/>
      <c r="ACL49" s="57"/>
      <c r="ACM49" s="57"/>
      <c r="ACN49" s="57"/>
      <c r="ACO49" s="57"/>
      <c r="ACP49" s="57"/>
      <c r="ACQ49" s="57"/>
      <c r="ACR49" s="57"/>
      <c r="ACS49" s="57"/>
      <c r="ACT49" s="57"/>
      <c r="ACU49" s="57"/>
      <c r="ACV49" s="57"/>
      <c r="ACW49" s="57"/>
      <c r="ACX49" s="57"/>
      <c r="ACY49" s="57"/>
      <c r="ACZ49" s="57"/>
      <c r="ADA49" s="57"/>
      <c r="ADB49" s="57"/>
      <c r="ADC49" s="57"/>
      <c r="ADD49" s="57"/>
      <c r="ADE49" s="57"/>
      <c r="ADF49" s="57"/>
      <c r="ADG49" s="57"/>
      <c r="ADH49" s="57"/>
      <c r="ADI49" s="57"/>
      <c r="ADJ49" s="57"/>
      <c r="ADK49" s="57"/>
      <c r="ADL49" s="57"/>
      <c r="ADM49" s="57"/>
      <c r="ADN49" s="57"/>
      <c r="ADO49" s="57"/>
      <c r="ADP49" s="57"/>
      <c r="ADQ49" s="57"/>
      <c r="ADR49" s="57"/>
      <c r="ADS49" s="57"/>
      <c r="ADT49" s="57"/>
      <c r="ADU49" s="57"/>
      <c r="ADV49" s="57"/>
      <c r="ADW49" s="57"/>
      <c r="ADX49" s="57"/>
      <c r="ADY49" s="57"/>
      <c r="ADZ49" s="57"/>
      <c r="AEA49" s="57"/>
      <c r="AEB49" s="57"/>
      <c r="AEC49" s="57"/>
      <c r="AED49" s="57"/>
      <c r="AEE49" s="57"/>
      <c r="AEF49" s="57"/>
      <c r="AEG49" s="57"/>
      <c r="AEH49" s="57"/>
      <c r="AEI49" s="57"/>
      <c r="AEJ49" s="57"/>
      <c r="AEK49" s="57"/>
      <c r="AEL49" s="57"/>
      <c r="AEM49" s="57"/>
      <c r="AEN49" s="57"/>
      <c r="AEO49" s="57"/>
      <c r="AEP49" s="57"/>
      <c r="AEQ49" s="57"/>
      <c r="AER49" s="57"/>
      <c r="AES49" s="57"/>
      <c r="AET49" s="57"/>
      <c r="AEU49" s="57"/>
      <c r="AEV49" s="57"/>
      <c r="AEW49" s="57"/>
      <c r="AEX49" s="57"/>
      <c r="AEY49" s="57"/>
      <c r="AEZ49" s="57"/>
      <c r="AFA49" s="57"/>
      <c r="AFB49" s="57"/>
      <c r="AFC49" s="57"/>
      <c r="AFD49" s="57"/>
      <c r="AFE49" s="57"/>
      <c r="AFF49" s="57"/>
      <c r="AFG49" s="57"/>
      <c r="AFH49" s="57"/>
      <c r="AFI49" s="57"/>
      <c r="AFJ49" s="57"/>
      <c r="AFK49" s="57"/>
      <c r="AFL49" s="57"/>
      <c r="AFM49" s="57"/>
      <c r="AFN49" s="57"/>
      <c r="AFO49" s="57"/>
      <c r="AFP49" s="57"/>
      <c r="AFQ49" s="57"/>
      <c r="AFR49" s="57"/>
      <c r="AFS49" s="57"/>
      <c r="AFT49" s="57"/>
      <c r="AFU49" s="57"/>
      <c r="AFV49" s="57"/>
      <c r="AFW49" s="57"/>
      <c r="AFX49" s="57"/>
      <c r="AFY49" s="57"/>
      <c r="AFZ49" s="57"/>
      <c r="AGA49" s="57"/>
      <c r="AGB49" s="57"/>
      <c r="AGC49" s="57"/>
      <c r="AGD49" s="57"/>
      <c r="AGE49" s="57"/>
      <c r="AGF49" s="57"/>
      <c r="AGG49" s="57"/>
      <c r="AGH49" s="57"/>
      <c r="AGI49" s="57"/>
      <c r="AGJ49" s="57"/>
      <c r="AGK49" s="57"/>
      <c r="AGL49" s="57"/>
      <c r="AGM49" s="57"/>
      <c r="AGN49" s="57"/>
      <c r="AGO49" s="57"/>
      <c r="AGP49" s="57"/>
      <c r="AGQ49" s="57"/>
      <c r="AGR49" s="57"/>
      <c r="AGS49" s="57"/>
      <c r="AGT49" s="57"/>
      <c r="AGU49" s="57"/>
      <c r="AGV49" s="57"/>
      <c r="AGW49" s="57"/>
      <c r="AGX49" s="57"/>
      <c r="AGY49" s="57"/>
      <c r="AGZ49" s="57"/>
      <c r="AHA49" s="57"/>
      <c r="AHB49" s="57"/>
      <c r="AHC49" s="57"/>
      <c r="AHD49" s="57"/>
      <c r="AHE49" s="57"/>
      <c r="AHF49" s="57"/>
      <c r="AHG49" s="57"/>
      <c r="AHH49" s="57"/>
      <c r="AHI49" s="57"/>
      <c r="AHJ49" s="57"/>
      <c r="AHK49" s="57"/>
      <c r="AHL49" s="57"/>
      <c r="AHM49" s="57"/>
      <c r="AHN49" s="57"/>
      <c r="AHO49" s="57"/>
      <c r="AHP49" s="57"/>
      <c r="AHQ49" s="57"/>
      <c r="AHR49" s="57"/>
      <c r="AHS49" s="57"/>
      <c r="AHT49" s="57"/>
      <c r="AHU49" s="57"/>
      <c r="AHV49" s="57"/>
      <c r="AHW49" s="57"/>
      <c r="AHX49" s="57"/>
      <c r="AHY49" s="57"/>
      <c r="AHZ49" s="57"/>
      <c r="AIA49" s="57"/>
      <c r="AIB49" s="57"/>
      <c r="AIC49" s="57"/>
      <c r="AID49" s="57"/>
      <c r="AIE49" s="57"/>
      <c r="AIF49" s="57"/>
      <c r="AIG49" s="57"/>
      <c r="AIH49" s="57"/>
      <c r="AII49" s="57"/>
      <c r="AIJ49" s="57"/>
      <c r="AIK49" s="57"/>
      <c r="AIL49" s="57"/>
      <c r="AIM49" s="57"/>
      <c r="AIN49" s="57"/>
      <c r="AIO49" s="57"/>
      <c r="AIP49" s="57"/>
      <c r="AIQ49" s="57"/>
      <c r="AIR49" s="57"/>
      <c r="AIS49" s="57"/>
      <c r="AIT49" s="57"/>
      <c r="AIU49" s="57"/>
      <c r="AIV49" s="57"/>
      <c r="AIW49" s="57"/>
      <c r="AIX49" s="57"/>
      <c r="AIY49" s="57"/>
      <c r="AIZ49" s="57"/>
      <c r="AJA49" s="57"/>
      <c r="AJB49" s="57"/>
      <c r="AJC49" s="57"/>
      <c r="AJD49" s="57"/>
      <c r="AJE49" s="57"/>
      <c r="AJF49" s="57"/>
      <c r="AJG49" s="57"/>
      <c r="AJH49" s="57"/>
      <c r="AJI49" s="57"/>
      <c r="AJJ49" s="57"/>
      <c r="AJK49" s="57"/>
      <c r="AJL49" s="57"/>
      <c r="AJM49" s="57"/>
      <c r="AJN49" s="57"/>
      <c r="AJO49" s="57"/>
      <c r="AJP49" s="57"/>
      <c r="AJQ49" s="57"/>
      <c r="AJR49" s="57"/>
      <c r="AJS49" s="57"/>
      <c r="AJT49" s="57"/>
      <c r="AJU49" s="57"/>
      <c r="AJV49" s="57"/>
      <c r="AJW49" s="57"/>
      <c r="AJX49" s="57"/>
      <c r="AJY49" s="57"/>
      <c r="AJZ49" s="57"/>
      <c r="AKA49" s="57"/>
      <c r="AKB49" s="57"/>
      <c r="AKC49" s="57"/>
      <c r="AKD49" s="57"/>
      <c r="AKE49" s="57"/>
      <c r="AKF49" s="57"/>
      <c r="AKG49" s="57"/>
      <c r="AKH49" s="57"/>
      <c r="AKI49" s="57"/>
      <c r="AKJ49" s="57"/>
      <c r="AKK49" s="57"/>
      <c r="AKL49" s="57"/>
      <c r="AKM49" s="57"/>
      <c r="AKN49" s="57"/>
      <c r="AKO49" s="57"/>
      <c r="AKP49" s="57"/>
      <c r="AKQ49" s="57"/>
      <c r="AKR49" s="57"/>
      <c r="AKS49" s="57"/>
      <c r="AKT49" s="57"/>
      <c r="AKU49" s="57"/>
      <c r="AKV49" s="57"/>
      <c r="AKW49" s="57"/>
      <c r="AKX49" s="57"/>
      <c r="AKY49" s="57"/>
      <c r="AKZ49" s="57"/>
      <c r="ALA49" s="57"/>
      <c r="ALB49" s="57"/>
      <c r="ALC49" s="57"/>
      <c r="ALD49" s="57"/>
      <c r="ALE49" s="57"/>
      <c r="ALF49" s="57"/>
      <c r="ALG49" s="57"/>
      <c r="ALH49" s="57"/>
      <c r="ALI49" s="57"/>
      <c r="ALJ49" s="57"/>
      <c r="ALK49" s="57"/>
      <c r="ALL49" s="57"/>
      <c r="ALM49" s="57"/>
      <c r="ALN49" s="57"/>
      <c r="ALO49" s="57"/>
      <c r="ALP49" s="57"/>
      <c r="ALQ49" s="57"/>
      <c r="ALR49" s="57"/>
      <c r="ALS49" s="57"/>
      <c r="ALT49" s="57"/>
      <c r="ALU49" s="57"/>
      <c r="ALV49" s="57"/>
      <c r="ALW49" s="57"/>
      <c r="ALX49" s="57"/>
      <c r="ALY49" s="57"/>
      <c r="ALZ49" s="57"/>
      <c r="AMA49" s="57"/>
      <c r="AMB49" s="57"/>
      <c r="AMC49" s="57"/>
      <c r="AMD49" s="57"/>
      <c r="AME49" s="57"/>
      <c r="AMF49" s="57"/>
      <c r="AMG49" s="57"/>
      <c r="AMH49" s="57"/>
      <c r="AMI49" s="57"/>
      <c r="AMJ49" s="57"/>
    </row>
    <row r="50" s="34" customFormat="true" ht="58.2" hidden="false" customHeight="false" outlineLevel="0" collapsed="false">
      <c r="A50" s="51" t="s">
        <v>151</v>
      </c>
      <c r="B50" s="51" t="s">
        <v>152</v>
      </c>
      <c r="C50" s="52" t="s">
        <v>31</v>
      </c>
      <c r="D50" s="53" t="s">
        <v>153</v>
      </c>
      <c r="E50" s="54" t="s">
        <v>13</v>
      </c>
      <c r="F50" s="52" t="s">
        <v>13</v>
      </c>
      <c r="G50" s="55" t="n">
        <v>52.3</v>
      </c>
      <c r="H50" s="7"/>
      <c r="I50" s="7"/>
      <c r="J50" s="7"/>
      <c r="K50" s="56"/>
      <c r="L50" s="42" t="s">
        <v>130</v>
      </c>
      <c r="M50" s="4"/>
      <c r="N50" s="4"/>
      <c r="O50" s="4"/>
      <c r="P50" s="4"/>
      <c r="Q50" s="4"/>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57"/>
      <c r="BM50" s="57"/>
      <c r="BN50" s="57"/>
      <c r="BO50" s="57"/>
      <c r="BP50" s="57"/>
      <c r="BQ50" s="57"/>
      <c r="BR50" s="57"/>
      <c r="BS50" s="57"/>
      <c r="BT50" s="57"/>
      <c r="BU50" s="57"/>
      <c r="BV50" s="57"/>
      <c r="BW50" s="57"/>
      <c r="BX50" s="57"/>
      <c r="BY50" s="57"/>
      <c r="BZ50" s="57"/>
      <c r="CA50" s="57"/>
      <c r="CB50" s="57"/>
      <c r="CC50" s="57"/>
      <c r="CD50" s="57"/>
      <c r="CE50" s="57"/>
      <c r="CF50" s="57"/>
      <c r="CG50" s="57"/>
      <c r="CH50" s="57"/>
      <c r="CI50" s="57"/>
      <c r="CJ50" s="57"/>
      <c r="CK50" s="57"/>
      <c r="CL50" s="57"/>
      <c r="CM50" s="57"/>
      <c r="CN50" s="57"/>
      <c r="CO50" s="57"/>
      <c r="CP50" s="57"/>
      <c r="CQ50" s="57"/>
      <c r="CR50" s="57"/>
      <c r="CS50" s="57"/>
      <c r="CT50" s="57"/>
      <c r="CU50" s="57"/>
      <c r="CV50" s="57"/>
      <c r="CW50" s="57"/>
      <c r="CX50" s="57"/>
      <c r="CY50" s="57"/>
      <c r="CZ50" s="57"/>
      <c r="DA50" s="57"/>
      <c r="DB50" s="57"/>
      <c r="DC50" s="57"/>
      <c r="DD50" s="57"/>
      <c r="DE50" s="57"/>
      <c r="DF50" s="57"/>
      <c r="DG50" s="57"/>
      <c r="DH50" s="57"/>
      <c r="DI50" s="57"/>
      <c r="DJ50" s="57"/>
      <c r="DK50" s="57"/>
      <c r="DL50" s="57"/>
      <c r="DM50" s="57"/>
      <c r="DN50" s="57"/>
      <c r="DO50" s="57"/>
      <c r="DP50" s="57"/>
      <c r="DQ50" s="57"/>
      <c r="DR50" s="57"/>
      <c r="DS50" s="57"/>
      <c r="DT50" s="57"/>
      <c r="DU50" s="57"/>
      <c r="DV50" s="57"/>
      <c r="DW50" s="57"/>
      <c r="DX50" s="57"/>
      <c r="DY50" s="57"/>
      <c r="DZ50" s="57"/>
      <c r="EA50" s="57"/>
      <c r="EB50" s="57"/>
      <c r="EC50" s="57"/>
      <c r="ED50" s="57"/>
      <c r="EE50" s="57"/>
      <c r="EF50" s="57"/>
      <c r="EG50" s="57"/>
      <c r="EH50" s="57"/>
      <c r="EI50" s="57"/>
      <c r="EJ50" s="57"/>
      <c r="EK50" s="57"/>
      <c r="EL50" s="57"/>
      <c r="EM50" s="57"/>
      <c r="EN50" s="57"/>
      <c r="EO50" s="57"/>
      <c r="EP50" s="57"/>
      <c r="EQ50" s="57"/>
      <c r="ER50" s="57"/>
      <c r="ES50" s="57"/>
      <c r="ET50" s="57"/>
      <c r="EU50" s="57"/>
      <c r="EV50" s="57"/>
      <c r="EW50" s="57"/>
      <c r="EX50" s="57"/>
      <c r="EY50" s="57"/>
      <c r="EZ50" s="57"/>
      <c r="FA50" s="57"/>
      <c r="FB50" s="57"/>
      <c r="FC50" s="57"/>
      <c r="FD50" s="57"/>
      <c r="FE50" s="57"/>
      <c r="FF50" s="57"/>
      <c r="FG50" s="57"/>
      <c r="FH50" s="57"/>
      <c r="FI50" s="57"/>
      <c r="FJ50" s="57"/>
      <c r="FK50" s="57"/>
      <c r="FL50" s="57"/>
      <c r="FM50" s="57"/>
      <c r="FN50" s="57"/>
      <c r="FO50" s="57"/>
      <c r="FP50" s="57"/>
      <c r="FQ50" s="57"/>
      <c r="FR50" s="57"/>
      <c r="FS50" s="57"/>
      <c r="FT50" s="57"/>
      <c r="FU50" s="57"/>
      <c r="FV50" s="57"/>
      <c r="FW50" s="57"/>
      <c r="FX50" s="57"/>
      <c r="FY50" s="57"/>
      <c r="FZ50" s="57"/>
      <c r="GA50" s="57"/>
      <c r="GB50" s="57"/>
      <c r="GC50" s="57"/>
      <c r="GD50" s="57"/>
      <c r="GE50" s="57"/>
      <c r="GF50" s="57"/>
      <c r="GG50" s="57"/>
      <c r="GH50" s="57"/>
      <c r="GI50" s="57"/>
      <c r="GJ50" s="57"/>
      <c r="GK50" s="57"/>
      <c r="GL50" s="57"/>
      <c r="GM50" s="57"/>
      <c r="GN50" s="57"/>
      <c r="GO50" s="57"/>
      <c r="GP50" s="57"/>
      <c r="GQ50" s="57"/>
      <c r="GR50" s="57"/>
      <c r="GS50" s="57"/>
      <c r="GT50" s="57"/>
      <c r="GU50" s="57"/>
      <c r="GV50" s="57"/>
      <c r="GW50" s="57"/>
      <c r="GX50" s="57"/>
      <c r="GY50" s="57"/>
      <c r="GZ50" s="57"/>
      <c r="HA50" s="57"/>
      <c r="HB50" s="57"/>
      <c r="HC50" s="57"/>
      <c r="HD50" s="57"/>
      <c r="HE50" s="57"/>
      <c r="HF50" s="57"/>
      <c r="HG50" s="57"/>
      <c r="HH50" s="57"/>
      <c r="HI50" s="57"/>
      <c r="HJ50" s="57"/>
      <c r="HK50" s="57"/>
      <c r="HL50" s="57"/>
      <c r="HM50" s="57"/>
      <c r="HN50" s="57"/>
      <c r="HO50" s="57"/>
      <c r="HP50" s="57"/>
      <c r="HQ50" s="57"/>
      <c r="HR50" s="57"/>
      <c r="HS50" s="57"/>
      <c r="HT50" s="57"/>
      <c r="HU50" s="57"/>
      <c r="HV50" s="57"/>
      <c r="HW50" s="57"/>
      <c r="HX50" s="57"/>
      <c r="HY50" s="57"/>
      <c r="HZ50" s="57"/>
      <c r="IA50" s="57"/>
      <c r="IB50" s="57"/>
      <c r="IC50" s="57"/>
      <c r="ID50" s="57"/>
      <c r="IE50" s="57"/>
      <c r="IF50" s="57"/>
      <c r="IG50" s="57"/>
      <c r="IH50" s="57"/>
      <c r="II50" s="57"/>
      <c r="IJ50" s="57"/>
      <c r="IK50" s="57"/>
      <c r="IL50" s="57"/>
      <c r="IM50" s="57"/>
      <c r="IN50" s="57"/>
      <c r="IO50" s="57"/>
      <c r="IP50" s="57"/>
      <c r="IQ50" s="57"/>
      <c r="IR50" s="57"/>
      <c r="IS50" s="57"/>
      <c r="IT50" s="57"/>
      <c r="IU50" s="57"/>
      <c r="IV50" s="57"/>
      <c r="IW50" s="57"/>
      <c r="IX50" s="57"/>
      <c r="IY50" s="57"/>
      <c r="IZ50" s="57"/>
      <c r="JA50" s="57"/>
      <c r="JB50" s="57"/>
      <c r="JC50" s="57"/>
      <c r="JD50" s="57"/>
      <c r="JE50" s="57"/>
      <c r="JF50" s="57"/>
      <c r="JG50" s="57"/>
      <c r="JH50" s="57"/>
      <c r="JI50" s="57"/>
      <c r="JJ50" s="57"/>
      <c r="JK50" s="57"/>
      <c r="JL50" s="57"/>
      <c r="JM50" s="57"/>
      <c r="JN50" s="57"/>
      <c r="JO50" s="57"/>
      <c r="JP50" s="57"/>
      <c r="JQ50" s="57"/>
      <c r="JR50" s="57"/>
      <c r="JS50" s="57"/>
      <c r="JT50" s="57"/>
      <c r="JU50" s="57"/>
      <c r="JV50" s="57"/>
      <c r="JW50" s="57"/>
      <c r="JX50" s="57"/>
      <c r="JY50" s="57"/>
      <c r="JZ50" s="57"/>
      <c r="KA50" s="57"/>
      <c r="KB50" s="57"/>
      <c r="KC50" s="57"/>
      <c r="KD50" s="57"/>
      <c r="KE50" s="57"/>
      <c r="KF50" s="57"/>
      <c r="KG50" s="57"/>
      <c r="KH50" s="57"/>
      <c r="KI50" s="57"/>
      <c r="KJ50" s="57"/>
      <c r="KK50" s="57"/>
      <c r="KL50" s="57"/>
      <c r="KM50" s="57"/>
      <c r="KN50" s="57"/>
      <c r="KO50" s="57"/>
      <c r="KP50" s="57"/>
      <c r="KQ50" s="57"/>
      <c r="KR50" s="57"/>
      <c r="KS50" s="57"/>
      <c r="KT50" s="57"/>
      <c r="KU50" s="57"/>
      <c r="KV50" s="57"/>
      <c r="KW50" s="57"/>
      <c r="KX50" s="57"/>
      <c r="KY50" s="57"/>
      <c r="KZ50" s="57"/>
      <c r="LA50" s="57"/>
      <c r="LB50" s="57"/>
      <c r="LC50" s="57"/>
      <c r="LD50" s="57"/>
      <c r="LE50" s="57"/>
      <c r="LF50" s="57"/>
      <c r="LG50" s="57"/>
      <c r="LH50" s="57"/>
      <c r="LI50" s="57"/>
      <c r="LJ50" s="57"/>
      <c r="LK50" s="57"/>
      <c r="LL50" s="57"/>
      <c r="LM50" s="57"/>
      <c r="LN50" s="57"/>
      <c r="LO50" s="57"/>
      <c r="LP50" s="57"/>
      <c r="LQ50" s="57"/>
      <c r="LR50" s="57"/>
      <c r="LS50" s="57"/>
      <c r="LT50" s="57"/>
      <c r="LU50" s="57"/>
      <c r="LV50" s="57"/>
      <c r="LW50" s="57"/>
      <c r="LX50" s="57"/>
      <c r="LY50" s="57"/>
      <c r="LZ50" s="57"/>
      <c r="MA50" s="57"/>
      <c r="MB50" s="57"/>
      <c r="MC50" s="57"/>
      <c r="MD50" s="57"/>
      <c r="ME50" s="57"/>
      <c r="MF50" s="57"/>
      <c r="MG50" s="57"/>
      <c r="MH50" s="57"/>
      <c r="MI50" s="57"/>
      <c r="MJ50" s="57"/>
      <c r="MK50" s="57"/>
      <c r="ML50" s="57"/>
      <c r="MM50" s="57"/>
      <c r="MN50" s="57"/>
      <c r="MO50" s="57"/>
      <c r="MP50" s="57"/>
      <c r="MQ50" s="57"/>
      <c r="MR50" s="57"/>
      <c r="MS50" s="57"/>
      <c r="MT50" s="57"/>
      <c r="MU50" s="57"/>
      <c r="MV50" s="57"/>
      <c r="MW50" s="57"/>
      <c r="MX50" s="57"/>
      <c r="MY50" s="57"/>
      <c r="MZ50" s="57"/>
      <c r="NA50" s="57"/>
      <c r="NB50" s="57"/>
      <c r="NC50" s="57"/>
      <c r="ND50" s="57"/>
      <c r="NE50" s="57"/>
      <c r="NF50" s="57"/>
      <c r="NG50" s="57"/>
      <c r="NH50" s="57"/>
      <c r="NI50" s="57"/>
      <c r="NJ50" s="57"/>
      <c r="NK50" s="57"/>
      <c r="NL50" s="57"/>
      <c r="NM50" s="57"/>
      <c r="NN50" s="57"/>
      <c r="NO50" s="57"/>
      <c r="NP50" s="57"/>
      <c r="NQ50" s="57"/>
      <c r="NR50" s="57"/>
      <c r="NS50" s="57"/>
      <c r="NT50" s="57"/>
      <c r="NU50" s="57"/>
      <c r="NV50" s="57"/>
      <c r="NW50" s="57"/>
      <c r="NX50" s="57"/>
      <c r="NY50" s="57"/>
      <c r="NZ50" s="57"/>
      <c r="OA50" s="57"/>
      <c r="OB50" s="57"/>
      <c r="OC50" s="57"/>
      <c r="OD50" s="57"/>
      <c r="OE50" s="57"/>
      <c r="OF50" s="57"/>
      <c r="OG50" s="57"/>
      <c r="OH50" s="57"/>
      <c r="OI50" s="57"/>
      <c r="OJ50" s="57"/>
      <c r="OK50" s="57"/>
      <c r="OL50" s="57"/>
      <c r="OM50" s="57"/>
      <c r="ON50" s="57"/>
      <c r="OO50" s="57"/>
      <c r="OP50" s="57"/>
      <c r="OQ50" s="57"/>
      <c r="OR50" s="57"/>
      <c r="OS50" s="57"/>
      <c r="OT50" s="57"/>
      <c r="OU50" s="57"/>
      <c r="OV50" s="57"/>
      <c r="OW50" s="57"/>
      <c r="OX50" s="57"/>
      <c r="OY50" s="57"/>
      <c r="OZ50" s="57"/>
      <c r="PA50" s="57"/>
      <c r="PB50" s="57"/>
      <c r="PC50" s="57"/>
      <c r="PD50" s="57"/>
      <c r="PE50" s="57"/>
      <c r="PF50" s="57"/>
      <c r="PG50" s="57"/>
      <c r="PH50" s="57"/>
      <c r="PI50" s="57"/>
      <c r="PJ50" s="57"/>
      <c r="PK50" s="57"/>
      <c r="PL50" s="57"/>
      <c r="PM50" s="57"/>
      <c r="PN50" s="57"/>
      <c r="PO50" s="57"/>
      <c r="PP50" s="57"/>
      <c r="PQ50" s="57"/>
      <c r="PR50" s="57"/>
      <c r="PS50" s="57"/>
      <c r="PT50" s="57"/>
      <c r="PU50" s="57"/>
      <c r="PV50" s="57"/>
      <c r="PW50" s="57"/>
      <c r="PX50" s="57"/>
      <c r="PY50" s="57"/>
      <c r="PZ50" s="57"/>
      <c r="QA50" s="57"/>
      <c r="QB50" s="57"/>
      <c r="QC50" s="57"/>
      <c r="QD50" s="57"/>
      <c r="QE50" s="57"/>
      <c r="QF50" s="57"/>
      <c r="QG50" s="57"/>
      <c r="QH50" s="57"/>
      <c r="QI50" s="57"/>
      <c r="QJ50" s="57"/>
      <c r="QK50" s="57"/>
      <c r="QL50" s="57"/>
      <c r="QM50" s="57"/>
      <c r="QN50" s="57"/>
      <c r="QO50" s="57"/>
      <c r="QP50" s="57"/>
      <c r="QQ50" s="57"/>
      <c r="QR50" s="57"/>
      <c r="QS50" s="57"/>
      <c r="QT50" s="57"/>
      <c r="QU50" s="57"/>
      <c r="QV50" s="57"/>
      <c r="QW50" s="57"/>
      <c r="QX50" s="57"/>
      <c r="QY50" s="57"/>
      <c r="QZ50" s="57"/>
      <c r="RA50" s="57"/>
      <c r="RB50" s="57"/>
      <c r="RC50" s="57"/>
      <c r="RD50" s="57"/>
      <c r="RE50" s="57"/>
      <c r="RF50" s="57"/>
      <c r="RG50" s="57"/>
      <c r="RH50" s="57"/>
      <c r="RI50" s="57"/>
      <c r="RJ50" s="57"/>
      <c r="RK50" s="57"/>
      <c r="RL50" s="57"/>
      <c r="RM50" s="57"/>
      <c r="RN50" s="57"/>
      <c r="RO50" s="57"/>
      <c r="RP50" s="57"/>
      <c r="RQ50" s="57"/>
      <c r="RR50" s="57"/>
      <c r="RS50" s="57"/>
      <c r="RT50" s="57"/>
      <c r="RU50" s="57"/>
      <c r="RV50" s="57"/>
      <c r="RW50" s="57"/>
      <c r="RX50" s="57"/>
      <c r="RY50" s="57"/>
      <c r="RZ50" s="57"/>
      <c r="SA50" s="57"/>
      <c r="SB50" s="57"/>
      <c r="SC50" s="57"/>
      <c r="SD50" s="57"/>
      <c r="SE50" s="57"/>
      <c r="SF50" s="57"/>
      <c r="SG50" s="57"/>
      <c r="SH50" s="57"/>
      <c r="SI50" s="57"/>
      <c r="SJ50" s="57"/>
      <c r="SK50" s="57"/>
      <c r="SL50" s="57"/>
      <c r="SM50" s="57"/>
      <c r="SN50" s="57"/>
      <c r="SO50" s="57"/>
      <c r="SP50" s="57"/>
      <c r="SQ50" s="57"/>
      <c r="SR50" s="57"/>
      <c r="SS50" s="57"/>
      <c r="ST50" s="57"/>
      <c r="SU50" s="57"/>
      <c r="SV50" s="57"/>
      <c r="SW50" s="57"/>
      <c r="SX50" s="57"/>
      <c r="SY50" s="57"/>
      <c r="SZ50" s="57"/>
      <c r="TA50" s="57"/>
      <c r="TB50" s="57"/>
      <c r="TC50" s="57"/>
      <c r="TD50" s="57"/>
      <c r="TE50" s="57"/>
      <c r="TF50" s="57"/>
      <c r="TG50" s="57"/>
      <c r="TH50" s="57"/>
      <c r="TI50" s="57"/>
      <c r="TJ50" s="57"/>
      <c r="TK50" s="57"/>
      <c r="TL50" s="57"/>
      <c r="TM50" s="57"/>
      <c r="TN50" s="57"/>
      <c r="TO50" s="57"/>
      <c r="TP50" s="57"/>
      <c r="TQ50" s="57"/>
      <c r="TR50" s="57"/>
      <c r="TS50" s="57"/>
      <c r="TT50" s="57"/>
      <c r="TU50" s="57"/>
      <c r="TV50" s="57"/>
      <c r="TW50" s="57"/>
      <c r="TX50" s="57"/>
      <c r="TY50" s="57"/>
      <c r="TZ50" s="57"/>
      <c r="UA50" s="57"/>
      <c r="UB50" s="57"/>
      <c r="UC50" s="57"/>
      <c r="UD50" s="57"/>
      <c r="UE50" s="57"/>
      <c r="UF50" s="57"/>
      <c r="UG50" s="57"/>
      <c r="UH50" s="57"/>
      <c r="UI50" s="57"/>
      <c r="UJ50" s="57"/>
      <c r="UK50" s="57"/>
      <c r="UL50" s="57"/>
      <c r="UM50" s="57"/>
      <c r="UN50" s="57"/>
      <c r="UO50" s="57"/>
      <c r="UP50" s="57"/>
      <c r="UQ50" s="57"/>
      <c r="UR50" s="57"/>
      <c r="US50" s="57"/>
      <c r="UT50" s="57"/>
      <c r="UU50" s="57"/>
      <c r="UV50" s="57"/>
      <c r="UW50" s="57"/>
      <c r="UX50" s="57"/>
      <c r="UY50" s="57"/>
      <c r="UZ50" s="57"/>
      <c r="VA50" s="57"/>
      <c r="VB50" s="57"/>
      <c r="VC50" s="57"/>
      <c r="VD50" s="57"/>
      <c r="VE50" s="57"/>
      <c r="VF50" s="57"/>
      <c r="VG50" s="57"/>
      <c r="VH50" s="57"/>
      <c r="VI50" s="57"/>
      <c r="VJ50" s="57"/>
      <c r="VK50" s="57"/>
      <c r="VL50" s="57"/>
      <c r="VM50" s="57"/>
      <c r="VN50" s="57"/>
      <c r="VO50" s="57"/>
      <c r="VP50" s="57"/>
      <c r="VQ50" s="57"/>
      <c r="VR50" s="57"/>
      <c r="VS50" s="57"/>
      <c r="VT50" s="57"/>
      <c r="VU50" s="57"/>
      <c r="VV50" s="57"/>
      <c r="VW50" s="57"/>
      <c r="VX50" s="57"/>
      <c r="VY50" s="57"/>
      <c r="VZ50" s="57"/>
      <c r="WA50" s="57"/>
      <c r="WB50" s="57"/>
      <c r="WC50" s="57"/>
      <c r="WD50" s="57"/>
      <c r="WE50" s="57"/>
      <c r="WF50" s="57"/>
      <c r="WG50" s="57"/>
      <c r="WH50" s="57"/>
      <c r="WI50" s="57"/>
      <c r="WJ50" s="57"/>
      <c r="WK50" s="57"/>
      <c r="WL50" s="57"/>
      <c r="WM50" s="57"/>
      <c r="WN50" s="57"/>
      <c r="WO50" s="57"/>
      <c r="WP50" s="57"/>
      <c r="WQ50" s="57"/>
      <c r="WR50" s="57"/>
      <c r="WS50" s="57"/>
      <c r="WT50" s="57"/>
      <c r="WU50" s="57"/>
      <c r="WV50" s="57"/>
      <c r="WW50" s="57"/>
      <c r="WX50" s="57"/>
      <c r="WY50" s="57"/>
      <c r="WZ50" s="57"/>
      <c r="XA50" s="57"/>
      <c r="XB50" s="57"/>
      <c r="XC50" s="57"/>
      <c r="XD50" s="57"/>
      <c r="XE50" s="57"/>
      <c r="XF50" s="57"/>
      <c r="XG50" s="57"/>
      <c r="XH50" s="57"/>
      <c r="XI50" s="57"/>
      <c r="XJ50" s="57"/>
      <c r="XK50" s="57"/>
      <c r="XL50" s="57"/>
      <c r="XM50" s="57"/>
      <c r="XN50" s="57"/>
      <c r="XO50" s="57"/>
      <c r="XP50" s="57"/>
      <c r="XQ50" s="57"/>
      <c r="XR50" s="57"/>
      <c r="XS50" s="57"/>
      <c r="XT50" s="57"/>
      <c r="XU50" s="57"/>
      <c r="XV50" s="57"/>
      <c r="XW50" s="57"/>
      <c r="XX50" s="57"/>
      <c r="XY50" s="57"/>
      <c r="XZ50" s="57"/>
      <c r="YA50" s="57"/>
      <c r="YB50" s="57"/>
      <c r="YC50" s="57"/>
      <c r="YD50" s="57"/>
      <c r="YE50" s="57"/>
      <c r="YF50" s="57"/>
      <c r="YG50" s="57"/>
      <c r="YH50" s="57"/>
      <c r="YI50" s="57"/>
      <c r="YJ50" s="57"/>
      <c r="YK50" s="57"/>
      <c r="YL50" s="57"/>
      <c r="YM50" s="57"/>
      <c r="YN50" s="57"/>
      <c r="YO50" s="57"/>
      <c r="YP50" s="57"/>
      <c r="YQ50" s="57"/>
      <c r="YR50" s="57"/>
      <c r="YS50" s="57"/>
      <c r="YT50" s="57"/>
      <c r="YU50" s="57"/>
      <c r="YV50" s="57"/>
      <c r="YW50" s="57"/>
      <c r="YX50" s="57"/>
      <c r="YY50" s="57"/>
      <c r="YZ50" s="57"/>
      <c r="ZA50" s="57"/>
      <c r="ZB50" s="57"/>
      <c r="ZC50" s="57"/>
      <c r="ZD50" s="57"/>
      <c r="ZE50" s="57"/>
      <c r="ZF50" s="57"/>
      <c r="ZG50" s="57"/>
      <c r="ZH50" s="57"/>
      <c r="ZI50" s="57"/>
      <c r="ZJ50" s="57"/>
      <c r="ZK50" s="57"/>
      <c r="ZL50" s="57"/>
      <c r="ZM50" s="57"/>
      <c r="ZN50" s="57"/>
      <c r="ZO50" s="57"/>
      <c r="ZP50" s="57"/>
      <c r="ZQ50" s="57"/>
      <c r="ZR50" s="57"/>
      <c r="ZS50" s="57"/>
      <c r="ZT50" s="57"/>
      <c r="ZU50" s="57"/>
      <c r="ZV50" s="57"/>
      <c r="ZW50" s="57"/>
      <c r="ZX50" s="57"/>
      <c r="ZY50" s="57"/>
      <c r="ZZ50" s="57"/>
      <c r="AAA50" s="57"/>
      <c r="AAB50" s="57"/>
      <c r="AAC50" s="57"/>
      <c r="AAD50" s="57"/>
      <c r="AAE50" s="57"/>
      <c r="AAF50" s="57"/>
      <c r="AAG50" s="57"/>
      <c r="AAH50" s="57"/>
      <c r="AAI50" s="57"/>
      <c r="AAJ50" s="57"/>
      <c r="AAK50" s="57"/>
      <c r="AAL50" s="57"/>
      <c r="AAM50" s="57"/>
      <c r="AAN50" s="57"/>
      <c r="AAO50" s="57"/>
      <c r="AAP50" s="57"/>
      <c r="AAQ50" s="57"/>
      <c r="AAR50" s="57"/>
      <c r="AAS50" s="57"/>
      <c r="AAT50" s="57"/>
      <c r="AAU50" s="57"/>
      <c r="AAV50" s="57"/>
      <c r="AAW50" s="57"/>
      <c r="AAX50" s="57"/>
      <c r="AAY50" s="57"/>
      <c r="AAZ50" s="57"/>
      <c r="ABA50" s="57"/>
      <c r="ABB50" s="57"/>
      <c r="ABC50" s="57"/>
      <c r="ABD50" s="57"/>
      <c r="ABE50" s="57"/>
      <c r="ABF50" s="57"/>
      <c r="ABG50" s="57"/>
      <c r="ABH50" s="57"/>
      <c r="ABI50" s="57"/>
      <c r="ABJ50" s="57"/>
      <c r="ABK50" s="57"/>
      <c r="ABL50" s="57"/>
      <c r="ABM50" s="57"/>
      <c r="ABN50" s="57"/>
      <c r="ABO50" s="57"/>
      <c r="ABP50" s="57"/>
      <c r="ABQ50" s="57"/>
      <c r="ABR50" s="57"/>
      <c r="ABS50" s="57"/>
      <c r="ABT50" s="57"/>
      <c r="ABU50" s="57"/>
      <c r="ABV50" s="57"/>
      <c r="ABW50" s="57"/>
      <c r="ABX50" s="57"/>
      <c r="ABY50" s="57"/>
      <c r="ABZ50" s="57"/>
      <c r="ACA50" s="57"/>
      <c r="ACB50" s="57"/>
      <c r="ACC50" s="57"/>
      <c r="ACD50" s="57"/>
      <c r="ACE50" s="57"/>
      <c r="ACF50" s="57"/>
      <c r="ACG50" s="57"/>
      <c r="ACH50" s="57"/>
      <c r="ACI50" s="57"/>
      <c r="ACJ50" s="57"/>
      <c r="ACK50" s="57"/>
      <c r="ACL50" s="57"/>
      <c r="ACM50" s="57"/>
      <c r="ACN50" s="57"/>
      <c r="ACO50" s="57"/>
      <c r="ACP50" s="57"/>
      <c r="ACQ50" s="57"/>
      <c r="ACR50" s="57"/>
      <c r="ACS50" s="57"/>
      <c r="ACT50" s="57"/>
      <c r="ACU50" s="57"/>
      <c r="ACV50" s="57"/>
      <c r="ACW50" s="57"/>
      <c r="ACX50" s="57"/>
      <c r="ACY50" s="57"/>
      <c r="ACZ50" s="57"/>
      <c r="ADA50" s="57"/>
      <c r="ADB50" s="57"/>
      <c r="ADC50" s="57"/>
      <c r="ADD50" s="57"/>
      <c r="ADE50" s="57"/>
      <c r="ADF50" s="57"/>
      <c r="ADG50" s="57"/>
      <c r="ADH50" s="57"/>
      <c r="ADI50" s="57"/>
      <c r="ADJ50" s="57"/>
      <c r="ADK50" s="57"/>
      <c r="ADL50" s="57"/>
      <c r="ADM50" s="57"/>
      <c r="ADN50" s="57"/>
      <c r="ADO50" s="57"/>
      <c r="ADP50" s="57"/>
      <c r="ADQ50" s="57"/>
      <c r="ADR50" s="57"/>
      <c r="ADS50" s="57"/>
      <c r="ADT50" s="57"/>
      <c r="ADU50" s="57"/>
      <c r="ADV50" s="57"/>
      <c r="ADW50" s="57"/>
      <c r="ADX50" s="57"/>
      <c r="ADY50" s="57"/>
      <c r="ADZ50" s="57"/>
      <c r="AEA50" s="57"/>
      <c r="AEB50" s="57"/>
      <c r="AEC50" s="57"/>
      <c r="AED50" s="57"/>
      <c r="AEE50" s="57"/>
      <c r="AEF50" s="57"/>
      <c r="AEG50" s="57"/>
      <c r="AEH50" s="57"/>
      <c r="AEI50" s="57"/>
      <c r="AEJ50" s="57"/>
      <c r="AEK50" s="57"/>
      <c r="AEL50" s="57"/>
      <c r="AEM50" s="57"/>
      <c r="AEN50" s="57"/>
      <c r="AEO50" s="57"/>
      <c r="AEP50" s="57"/>
      <c r="AEQ50" s="57"/>
      <c r="AER50" s="57"/>
      <c r="AES50" s="57"/>
      <c r="AET50" s="57"/>
      <c r="AEU50" s="57"/>
      <c r="AEV50" s="57"/>
      <c r="AEW50" s="57"/>
      <c r="AEX50" s="57"/>
      <c r="AEY50" s="57"/>
      <c r="AEZ50" s="57"/>
      <c r="AFA50" s="57"/>
      <c r="AFB50" s="57"/>
      <c r="AFC50" s="57"/>
      <c r="AFD50" s="57"/>
      <c r="AFE50" s="57"/>
      <c r="AFF50" s="57"/>
      <c r="AFG50" s="57"/>
      <c r="AFH50" s="57"/>
      <c r="AFI50" s="57"/>
      <c r="AFJ50" s="57"/>
      <c r="AFK50" s="57"/>
      <c r="AFL50" s="57"/>
      <c r="AFM50" s="57"/>
      <c r="AFN50" s="57"/>
      <c r="AFO50" s="57"/>
      <c r="AFP50" s="57"/>
      <c r="AFQ50" s="57"/>
      <c r="AFR50" s="57"/>
      <c r="AFS50" s="57"/>
      <c r="AFT50" s="57"/>
      <c r="AFU50" s="57"/>
      <c r="AFV50" s="57"/>
      <c r="AFW50" s="57"/>
      <c r="AFX50" s="57"/>
      <c r="AFY50" s="57"/>
      <c r="AFZ50" s="57"/>
      <c r="AGA50" s="57"/>
      <c r="AGB50" s="57"/>
      <c r="AGC50" s="57"/>
      <c r="AGD50" s="57"/>
      <c r="AGE50" s="57"/>
      <c r="AGF50" s="57"/>
      <c r="AGG50" s="57"/>
      <c r="AGH50" s="57"/>
      <c r="AGI50" s="57"/>
      <c r="AGJ50" s="57"/>
      <c r="AGK50" s="57"/>
      <c r="AGL50" s="57"/>
      <c r="AGM50" s="57"/>
      <c r="AGN50" s="57"/>
      <c r="AGO50" s="57"/>
      <c r="AGP50" s="57"/>
      <c r="AGQ50" s="57"/>
      <c r="AGR50" s="57"/>
      <c r="AGS50" s="57"/>
      <c r="AGT50" s="57"/>
      <c r="AGU50" s="57"/>
      <c r="AGV50" s="57"/>
      <c r="AGW50" s="57"/>
      <c r="AGX50" s="57"/>
      <c r="AGY50" s="57"/>
      <c r="AGZ50" s="57"/>
      <c r="AHA50" s="57"/>
      <c r="AHB50" s="57"/>
      <c r="AHC50" s="57"/>
      <c r="AHD50" s="57"/>
      <c r="AHE50" s="57"/>
      <c r="AHF50" s="57"/>
      <c r="AHG50" s="57"/>
      <c r="AHH50" s="57"/>
      <c r="AHI50" s="57"/>
      <c r="AHJ50" s="57"/>
      <c r="AHK50" s="57"/>
      <c r="AHL50" s="57"/>
      <c r="AHM50" s="57"/>
      <c r="AHN50" s="57"/>
      <c r="AHO50" s="57"/>
      <c r="AHP50" s="57"/>
      <c r="AHQ50" s="57"/>
      <c r="AHR50" s="57"/>
      <c r="AHS50" s="57"/>
      <c r="AHT50" s="57"/>
      <c r="AHU50" s="57"/>
      <c r="AHV50" s="57"/>
      <c r="AHW50" s="57"/>
      <c r="AHX50" s="57"/>
      <c r="AHY50" s="57"/>
      <c r="AHZ50" s="57"/>
      <c r="AIA50" s="57"/>
      <c r="AIB50" s="57"/>
      <c r="AIC50" s="57"/>
      <c r="AID50" s="57"/>
      <c r="AIE50" s="57"/>
      <c r="AIF50" s="57"/>
      <c r="AIG50" s="57"/>
      <c r="AIH50" s="57"/>
      <c r="AII50" s="57"/>
      <c r="AIJ50" s="57"/>
      <c r="AIK50" s="57"/>
      <c r="AIL50" s="57"/>
      <c r="AIM50" s="57"/>
      <c r="AIN50" s="57"/>
      <c r="AIO50" s="57"/>
      <c r="AIP50" s="57"/>
      <c r="AIQ50" s="57"/>
      <c r="AIR50" s="57"/>
      <c r="AIS50" s="57"/>
      <c r="AIT50" s="57"/>
      <c r="AIU50" s="57"/>
      <c r="AIV50" s="57"/>
      <c r="AIW50" s="57"/>
      <c r="AIX50" s="57"/>
      <c r="AIY50" s="57"/>
      <c r="AIZ50" s="57"/>
      <c r="AJA50" s="57"/>
      <c r="AJB50" s="57"/>
      <c r="AJC50" s="57"/>
      <c r="AJD50" s="57"/>
      <c r="AJE50" s="57"/>
      <c r="AJF50" s="57"/>
      <c r="AJG50" s="57"/>
      <c r="AJH50" s="57"/>
      <c r="AJI50" s="57"/>
      <c r="AJJ50" s="57"/>
      <c r="AJK50" s="57"/>
      <c r="AJL50" s="57"/>
      <c r="AJM50" s="57"/>
      <c r="AJN50" s="57"/>
      <c r="AJO50" s="57"/>
      <c r="AJP50" s="57"/>
      <c r="AJQ50" s="57"/>
      <c r="AJR50" s="57"/>
      <c r="AJS50" s="57"/>
      <c r="AJT50" s="57"/>
      <c r="AJU50" s="57"/>
      <c r="AJV50" s="57"/>
      <c r="AJW50" s="57"/>
      <c r="AJX50" s="57"/>
      <c r="AJY50" s="57"/>
      <c r="AJZ50" s="57"/>
      <c r="AKA50" s="57"/>
      <c r="AKB50" s="57"/>
      <c r="AKC50" s="57"/>
      <c r="AKD50" s="57"/>
      <c r="AKE50" s="57"/>
      <c r="AKF50" s="57"/>
      <c r="AKG50" s="57"/>
      <c r="AKH50" s="57"/>
      <c r="AKI50" s="57"/>
      <c r="AKJ50" s="57"/>
      <c r="AKK50" s="57"/>
      <c r="AKL50" s="57"/>
      <c r="AKM50" s="57"/>
      <c r="AKN50" s="57"/>
      <c r="AKO50" s="57"/>
      <c r="AKP50" s="57"/>
      <c r="AKQ50" s="57"/>
      <c r="AKR50" s="57"/>
      <c r="AKS50" s="57"/>
      <c r="AKT50" s="57"/>
      <c r="AKU50" s="57"/>
      <c r="AKV50" s="57"/>
      <c r="AKW50" s="57"/>
      <c r="AKX50" s="57"/>
      <c r="AKY50" s="57"/>
      <c r="AKZ50" s="57"/>
      <c r="ALA50" s="57"/>
      <c r="ALB50" s="57"/>
      <c r="ALC50" s="57"/>
      <c r="ALD50" s="57"/>
      <c r="ALE50" s="57"/>
      <c r="ALF50" s="57"/>
      <c r="ALG50" s="57"/>
      <c r="ALH50" s="57"/>
      <c r="ALI50" s="57"/>
      <c r="ALJ50" s="57"/>
      <c r="ALK50" s="57"/>
      <c r="ALL50" s="57"/>
      <c r="ALM50" s="57"/>
      <c r="ALN50" s="57"/>
      <c r="ALO50" s="57"/>
      <c r="ALP50" s="57"/>
      <c r="ALQ50" s="57"/>
      <c r="ALR50" s="57"/>
      <c r="ALS50" s="57"/>
      <c r="ALT50" s="57"/>
      <c r="ALU50" s="57"/>
      <c r="ALV50" s="57"/>
      <c r="ALW50" s="57"/>
      <c r="ALX50" s="57"/>
      <c r="ALY50" s="57"/>
      <c r="ALZ50" s="57"/>
      <c r="AMA50" s="57"/>
      <c r="AMB50" s="57"/>
      <c r="AMC50" s="57"/>
      <c r="AMD50" s="57"/>
      <c r="AME50" s="57"/>
      <c r="AMF50" s="57"/>
      <c r="AMG50" s="57"/>
      <c r="AMH50" s="57"/>
      <c r="AMI50" s="57"/>
      <c r="AMJ50" s="57"/>
    </row>
    <row r="51" s="67" customFormat="true" ht="72.35" hidden="false" customHeight="false" outlineLevel="0" collapsed="false">
      <c r="A51" s="58" t="s">
        <v>154</v>
      </c>
      <c r="B51" s="58" t="s">
        <v>155</v>
      </c>
      <c r="C51" s="59" t="s">
        <v>31</v>
      </c>
      <c r="D51" s="60" t="s">
        <v>156</v>
      </c>
      <c r="E51" s="61" t="s">
        <v>13</v>
      </c>
      <c r="F51" s="59" t="s">
        <v>13</v>
      </c>
      <c r="G51" s="62" t="n">
        <v>52.02</v>
      </c>
      <c r="H51" s="63"/>
      <c r="I51" s="63"/>
      <c r="J51" s="63"/>
      <c r="K51" s="64"/>
      <c r="L51" s="64" t="s">
        <v>130</v>
      </c>
      <c r="M51" s="41"/>
      <c r="N51" s="41"/>
      <c r="O51" s="41"/>
      <c r="P51" s="41"/>
      <c r="Q51" s="41"/>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c r="EG51" s="66"/>
      <c r="EH51" s="66"/>
      <c r="EI51" s="66"/>
      <c r="EJ51" s="66"/>
      <c r="EK51" s="66"/>
      <c r="EL51" s="66"/>
      <c r="EM51" s="66"/>
      <c r="EN51" s="66"/>
      <c r="EO51" s="66"/>
      <c r="EP51" s="66"/>
      <c r="EQ51" s="66"/>
      <c r="ER51" s="66"/>
      <c r="ES51" s="66"/>
      <c r="ET51" s="66"/>
      <c r="EU51" s="66"/>
      <c r="EV51" s="66"/>
      <c r="EW51" s="66"/>
      <c r="EX51" s="66"/>
      <c r="EY51" s="66"/>
      <c r="EZ51" s="66"/>
      <c r="FA51" s="66"/>
      <c r="FB51" s="66"/>
      <c r="FC51" s="66"/>
      <c r="FD51" s="66"/>
      <c r="FE51" s="66"/>
      <c r="FF51" s="66"/>
      <c r="FG51" s="66"/>
      <c r="FH51" s="66"/>
      <c r="FI51" s="66"/>
      <c r="FJ51" s="66"/>
      <c r="FK51" s="66"/>
      <c r="FL51" s="66"/>
      <c r="FM51" s="66"/>
      <c r="FN51" s="66"/>
      <c r="FO51" s="66"/>
      <c r="FP51" s="66"/>
      <c r="FQ51" s="66"/>
      <c r="FR51" s="66"/>
      <c r="FS51" s="66"/>
      <c r="FT51" s="66"/>
      <c r="FU51" s="66"/>
      <c r="FV51" s="66"/>
      <c r="FW51" s="66"/>
      <c r="FX51" s="66"/>
      <c r="FY51" s="66"/>
      <c r="FZ51" s="66"/>
      <c r="GA51" s="66"/>
      <c r="GB51" s="66"/>
      <c r="GC51" s="66"/>
      <c r="GD51" s="66"/>
      <c r="GE51" s="66"/>
      <c r="GF51" s="66"/>
      <c r="GG51" s="66"/>
      <c r="GH51" s="66"/>
      <c r="GI51" s="66"/>
      <c r="GJ51" s="66"/>
      <c r="GK51" s="66"/>
      <c r="GL51" s="66"/>
      <c r="GM51" s="66"/>
      <c r="GN51" s="66"/>
      <c r="GO51" s="66"/>
      <c r="GP51" s="66"/>
      <c r="GQ51" s="66"/>
      <c r="GR51" s="66"/>
      <c r="GS51" s="66"/>
      <c r="GT51" s="66"/>
      <c r="GU51" s="66"/>
      <c r="GV51" s="66"/>
      <c r="GW51" s="66"/>
      <c r="GX51" s="66"/>
      <c r="GY51" s="66"/>
      <c r="GZ51" s="66"/>
      <c r="HA51" s="66"/>
      <c r="HB51" s="66"/>
      <c r="HC51" s="66"/>
      <c r="HD51" s="66"/>
      <c r="HE51" s="66"/>
      <c r="HF51" s="66"/>
      <c r="HG51" s="66"/>
      <c r="HH51" s="66"/>
      <c r="HI51" s="66"/>
      <c r="HJ51" s="66"/>
      <c r="HK51" s="66"/>
      <c r="HL51" s="66"/>
      <c r="HM51" s="66"/>
      <c r="HN51" s="66"/>
      <c r="HO51" s="66"/>
      <c r="HP51" s="66"/>
      <c r="HQ51" s="66"/>
      <c r="HR51" s="66"/>
      <c r="HS51" s="66"/>
      <c r="HT51" s="66"/>
      <c r="HU51" s="66"/>
      <c r="HV51" s="66"/>
      <c r="HW51" s="66"/>
      <c r="HX51" s="66"/>
      <c r="HY51" s="66"/>
      <c r="HZ51" s="66"/>
      <c r="IA51" s="66"/>
      <c r="IB51" s="66"/>
      <c r="IC51" s="66"/>
      <c r="ID51" s="66"/>
      <c r="IE51" s="66"/>
      <c r="IF51" s="66"/>
      <c r="IG51" s="66"/>
      <c r="IH51" s="66"/>
      <c r="II51" s="66"/>
      <c r="IJ51" s="66"/>
      <c r="IK51" s="66"/>
      <c r="IL51" s="66"/>
      <c r="IM51" s="66"/>
      <c r="IN51" s="66"/>
      <c r="IO51" s="66"/>
      <c r="IP51" s="66"/>
      <c r="IQ51" s="66"/>
      <c r="IR51" s="66"/>
      <c r="IS51" s="66"/>
      <c r="IT51" s="66"/>
      <c r="IU51" s="66"/>
      <c r="IV51" s="66"/>
      <c r="IW51" s="66"/>
      <c r="IX51" s="66"/>
      <c r="IY51" s="66"/>
      <c r="IZ51" s="66"/>
      <c r="JA51" s="66"/>
      <c r="JB51" s="66"/>
      <c r="JC51" s="66"/>
      <c r="JD51" s="66"/>
      <c r="JE51" s="66"/>
      <c r="JF51" s="66"/>
      <c r="JG51" s="66"/>
      <c r="JH51" s="66"/>
      <c r="JI51" s="66"/>
      <c r="JJ51" s="66"/>
      <c r="JK51" s="66"/>
      <c r="JL51" s="66"/>
      <c r="JM51" s="66"/>
      <c r="JN51" s="66"/>
      <c r="JO51" s="66"/>
      <c r="JP51" s="66"/>
      <c r="JQ51" s="66"/>
      <c r="JR51" s="66"/>
      <c r="JS51" s="66"/>
      <c r="JT51" s="66"/>
      <c r="JU51" s="66"/>
      <c r="JV51" s="66"/>
      <c r="JW51" s="66"/>
      <c r="JX51" s="66"/>
      <c r="JY51" s="66"/>
      <c r="JZ51" s="66"/>
      <c r="KA51" s="66"/>
      <c r="KB51" s="66"/>
      <c r="KC51" s="66"/>
      <c r="KD51" s="66"/>
      <c r="KE51" s="66"/>
      <c r="KF51" s="66"/>
      <c r="KG51" s="66"/>
      <c r="KH51" s="66"/>
      <c r="KI51" s="66"/>
      <c r="KJ51" s="66"/>
      <c r="KK51" s="66"/>
      <c r="KL51" s="66"/>
      <c r="KM51" s="66"/>
      <c r="KN51" s="66"/>
      <c r="KO51" s="66"/>
      <c r="KP51" s="66"/>
      <c r="KQ51" s="66"/>
      <c r="KR51" s="66"/>
      <c r="KS51" s="66"/>
      <c r="KT51" s="66"/>
      <c r="KU51" s="66"/>
      <c r="KV51" s="66"/>
      <c r="KW51" s="66"/>
      <c r="KX51" s="66"/>
      <c r="KY51" s="66"/>
      <c r="KZ51" s="66"/>
      <c r="LA51" s="66"/>
      <c r="LB51" s="66"/>
      <c r="LC51" s="66"/>
      <c r="LD51" s="66"/>
      <c r="LE51" s="66"/>
      <c r="LF51" s="66"/>
      <c r="LG51" s="66"/>
      <c r="LH51" s="66"/>
      <c r="LI51" s="66"/>
      <c r="LJ51" s="66"/>
      <c r="LK51" s="66"/>
      <c r="LL51" s="66"/>
      <c r="LM51" s="66"/>
      <c r="LN51" s="66"/>
      <c r="LO51" s="66"/>
      <c r="LP51" s="66"/>
      <c r="LQ51" s="66"/>
      <c r="LR51" s="66"/>
      <c r="LS51" s="66"/>
      <c r="LT51" s="66"/>
      <c r="LU51" s="66"/>
      <c r="LV51" s="66"/>
      <c r="LW51" s="66"/>
      <c r="LX51" s="66"/>
      <c r="LY51" s="66"/>
      <c r="LZ51" s="66"/>
      <c r="MA51" s="66"/>
      <c r="MB51" s="66"/>
      <c r="MC51" s="66"/>
      <c r="MD51" s="66"/>
      <c r="ME51" s="66"/>
      <c r="MF51" s="66"/>
      <c r="MG51" s="66"/>
      <c r="MH51" s="66"/>
      <c r="MI51" s="66"/>
      <c r="MJ51" s="66"/>
      <c r="MK51" s="66"/>
      <c r="ML51" s="66"/>
      <c r="MM51" s="66"/>
      <c r="MN51" s="66"/>
      <c r="MO51" s="66"/>
      <c r="MP51" s="66"/>
      <c r="MQ51" s="66"/>
      <c r="MR51" s="66"/>
      <c r="MS51" s="66"/>
      <c r="MT51" s="66"/>
      <c r="MU51" s="66"/>
      <c r="MV51" s="66"/>
      <c r="MW51" s="66"/>
      <c r="MX51" s="66"/>
      <c r="MY51" s="66"/>
      <c r="MZ51" s="66"/>
      <c r="NA51" s="66"/>
      <c r="NB51" s="66"/>
      <c r="NC51" s="66"/>
      <c r="ND51" s="66"/>
      <c r="NE51" s="66"/>
      <c r="NF51" s="66"/>
      <c r="NG51" s="66"/>
      <c r="NH51" s="66"/>
      <c r="NI51" s="66"/>
      <c r="NJ51" s="66"/>
      <c r="NK51" s="66"/>
      <c r="NL51" s="66"/>
      <c r="NM51" s="66"/>
      <c r="NN51" s="66"/>
      <c r="NO51" s="66"/>
      <c r="NP51" s="66"/>
      <c r="NQ51" s="66"/>
      <c r="NR51" s="66"/>
      <c r="NS51" s="66"/>
      <c r="NT51" s="66"/>
      <c r="NU51" s="66"/>
      <c r="NV51" s="66"/>
      <c r="NW51" s="66"/>
      <c r="NX51" s="66"/>
      <c r="NY51" s="66"/>
      <c r="NZ51" s="66"/>
      <c r="OA51" s="66"/>
      <c r="OB51" s="66"/>
      <c r="OC51" s="66"/>
      <c r="OD51" s="66"/>
      <c r="OE51" s="66"/>
      <c r="OF51" s="66"/>
      <c r="OG51" s="66"/>
      <c r="OH51" s="66"/>
      <c r="OI51" s="66"/>
      <c r="OJ51" s="66"/>
      <c r="OK51" s="66"/>
      <c r="OL51" s="66"/>
      <c r="OM51" s="66"/>
      <c r="ON51" s="66"/>
      <c r="OO51" s="66"/>
      <c r="OP51" s="66"/>
      <c r="OQ51" s="66"/>
      <c r="OR51" s="66"/>
      <c r="OS51" s="66"/>
      <c r="OT51" s="66"/>
      <c r="OU51" s="66"/>
      <c r="OV51" s="66"/>
      <c r="OW51" s="66"/>
      <c r="OX51" s="66"/>
      <c r="OY51" s="66"/>
      <c r="OZ51" s="66"/>
      <c r="PA51" s="66"/>
      <c r="PB51" s="66"/>
      <c r="PC51" s="66"/>
      <c r="PD51" s="66"/>
      <c r="PE51" s="66"/>
      <c r="PF51" s="66"/>
      <c r="PG51" s="66"/>
      <c r="PH51" s="66"/>
      <c r="PI51" s="66"/>
      <c r="PJ51" s="66"/>
      <c r="PK51" s="66"/>
      <c r="PL51" s="66"/>
      <c r="PM51" s="66"/>
      <c r="PN51" s="66"/>
      <c r="PO51" s="66"/>
      <c r="PP51" s="66"/>
      <c r="PQ51" s="66"/>
      <c r="PR51" s="66"/>
      <c r="PS51" s="66"/>
      <c r="PT51" s="66"/>
      <c r="PU51" s="66"/>
      <c r="PV51" s="66"/>
      <c r="PW51" s="66"/>
      <c r="PX51" s="66"/>
      <c r="PY51" s="66"/>
      <c r="PZ51" s="66"/>
      <c r="QA51" s="66"/>
      <c r="QB51" s="66"/>
      <c r="QC51" s="66"/>
      <c r="QD51" s="66"/>
      <c r="QE51" s="66"/>
      <c r="QF51" s="66"/>
      <c r="QG51" s="66"/>
      <c r="QH51" s="66"/>
      <c r="QI51" s="66"/>
      <c r="QJ51" s="66"/>
      <c r="QK51" s="66"/>
      <c r="QL51" s="66"/>
      <c r="QM51" s="66"/>
      <c r="QN51" s="66"/>
      <c r="QO51" s="66"/>
      <c r="QP51" s="66"/>
      <c r="QQ51" s="66"/>
      <c r="QR51" s="66"/>
      <c r="QS51" s="66"/>
      <c r="QT51" s="66"/>
      <c r="QU51" s="66"/>
      <c r="QV51" s="66"/>
      <c r="QW51" s="66"/>
      <c r="QX51" s="66"/>
      <c r="QY51" s="66"/>
      <c r="QZ51" s="66"/>
      <c r="RA51" s="66"/>
      <c r="RB51" s="66"/>
      <c r="RC51" s="66"/>
      <c r="RD51" s="66"/>
      <c r="RE51" s="66"/>
      <c r="RF51" s="66"/>
      <c r="RG51" s="66"/>
      <c r="RH51" s="66"/>
      <c r="RI51" s="66"/>
      <c r="RJ51" s="66"/>
      <c r="RK51" s="66"/>
      <c r="RL51" s="66"/>
      <c r="RM51" s="66"/>
      <c r="RN51" s="66"/>
      <c r="RO51" s="66"/>
      <c r="RP51" s="66"/>
      <c r="RQ51" s="66"/>
      <c r="RR51" s="66"/>
      <c r="RS51" s="66"/>
      <c r="RT51" s="66"/>
      <c r="RU51" s="66"/>
      <c r="RV51" s="66"/>
      <c r="RW51" s="66"/>
      <c r="RX51" s="66"/>
      <c r="RY51" s="66"/>
      <c r="RZ51" s="66"/>
      <c r="SA51" s="66"/>
      <c r="SB51" s="66"/>
      <c r="SC51" s="66"/>
      <c r="SD51" s="66"/>
      <c r="SE51" s="66"/>
      <c r="SF51" s="66"/>
      <c r="SG51" s="66"/>
      <c r="SH51" s="66"/>
      <c r="SI51" s="66"/>
      <c r="SJ51" s="66"/>
      <c r="SK51" s="66"/>
      <c r="SL51" s="66"/>
      <c r="SM51" s="66"/>
      <c r="SN51" s="66"/>
      <c r="SO51" s="66"/>
      <c r="SP51" s="66"/>
      <c r="SQ51" s="66"/>
      <c r="SR51" s="66"/>
      <c r="SS51" s="66"/>
      <c r="ST51" s="66"/>
      <c r="SU51" s="66"/>
      <c r="SV51" s="66"/>
      <c r="SW51" s="66"/>
      <c r="SX51" s="66"/>
      <c r="SY51" s="66"/>
      <c r="SZ51" s="66"/>
      <c r="TA51" s="66"/>
      <c r="TB51" s="66"/>
      <c r="TC51" s="66"/>
      <c r="TD51" s="66"/>
      <c r="TE51" s="66"/>
      <c r="TF51" s="66"/>
      <c r="TG51" s="66"/>
      <c r="TH51" s="66"/>
      <c r="TI51" s="66"/>
      <c r="TJ51" s="66"/>
      <c r="TK51" s="66"/>
      <c r="TL51" s="66"/>
      <c r="TM51" s="66"/>
      <c r="TN51" s="66"/>
      <c r="TO51" s="66"/>
      <c r="TP51" s="66"/>
      <c r="TQ51" s="66"/>
      <c r="TR51" s="66"/>
      <c r="TS51" s="66"/>
      <c r="TT51" s="66"/>
      <c r="TU51" s="66"/>
      <c r="TV51" s="66"/>
      <c r="TW51" s="66"/>
      <c r="TX51" s="66"/>
      <c r="TY51" s="66"/>
      <c r="TZ51" s="66"/>
      <c r="UA51" s="66"/>
      <c r="UB51" s="66"/>
      <c r="UC51" s="66"/>
      <c r="UD51" s="66"/>
      <c r="UE51" s="66"/>
      <c r="UF51" s="66"/>
      <c r="UG51" s="66"/>
      <c r="UH51" s="66"/>
      <c r="UI51" s="66"/>
      <c r="UJ51" s="66"/>
      <c r="UK51" s="66"/>
      <c r="UL51" s="66"/>
      <c r="UM51" s="66"/>
      <c r="UN51" s="66"/>
      <c r="UO51" s="66"/>
      <c r="UP51" s="66"/>
      <c r="UQ51" s="66"/>
      <c r="UR51" s="66"/>
      <c r="US51" s="66"/>
      <c r="UT51" s="66"/>
      <c r="UU51" s="66"/>
      <c r="UV51" s="66"/>
      <c r="UW51" s="66"/>
      <c r="UX51" s="66"/>
      <c r="UY51" s="66"/>
      <c r="UZ51" s="66"/>
      <c r="VA51" s="66"/>
      <c r="VB51" s="66"/>
      <c r="VC51" s="66"/>
      <c r="VD51" s="66"/>
      <c r="VE51" s="66"/>
      <c r="VF51" s="66"/>
      <c r="VG51" s="66"/>
      <c r="VH51" s="66"/>
      <c r="VI51" s="66"/>
      <c r="VJ51" s="66"/>
      <c r="VK51" s="66"/>
      <c r="VL51" s="66"/>
      <c r="VM51" s="66"/>
      <c r="VN51" s="66"/>
      <c r="VO51" s="66"/>
      <c r="VP51" s="66"/>
      <c r="VQ51" s="66"/>
      <c r="VR51" s="66"/>
      <c r="VS51" s="66"/>
      <c r="VT51" s="66"/>
      <c r="VU51" s="66"/>
      <c r="VV51" s="66"/>
      <c r="VW51" s="66"/>
      <c r="VX51" s="66"/>
      <c r="VY51" s="66"/>
      <c r="VZ51" s="66"/>
      <c r="WA51" s="66"/>
      <c r="WB51" s="66"/>
      <c r="WC51" s="66"/>
      <c r="WD51" s="66"/>
      <c r="WE51" s="66"/>
      <c r="WF51" s="66"/>
      <c r="WG51" s="66"/>
      <c r="WH51" s="66"/>
      <c r="WI51" s="66"/>
      <c r="WJ51" s="66"/>
      <c r="WK51" s="66"/>
      <c r="WL51" s="66"/>
      <c r="WM51" s="66"/>
      <c r="WN51" s="66"/>
      <c r="WO51" s="66"/>
      <c r="WP51" s="66"/>
      <c r="WQ51" s="66"/>
      <c r="WR51" s="66"/>
      <c r="WS51" s="66"/>
      <c r="WT51" s="66"/>
      <c r="WU51" s="66"/>
      <c r="WV51" s="66"/>
      <c r="WW51" s="66"/>
      <c r="WX51" s="66"/>
      <c r="WY51" s="66"/>
      <c r="WZ51" s="66"/>
      <c r="XA51" s="66"/>
      <c r="XB51" s="66"/>
      <c r="XC51" s="66"/>
      <c r="XD51" s="66"/>
      <c r="XE51" s="66"/>
      <c r="XF51" s="66"/>
      <c r="XG51" s="66"/>
      <c r="XH51" s="66"/>
      <c r="XI51" s="66"/>
      <c r="XJ51" s="66"/>
      <c r="XK51" s="66"/>
      <c r="XL51" s="66"/>
      <c r="XM51" s="66"/>
      <c r="XN51" s="66"/>
      <c r="XO51" s="66"/>
      <c r="XP51" s="66"/>
      <c r="XQ51" s="66"/>
      <c r="XR51" s="66"/>
      <c r="XS51" s="66"/>
      <c r="XT51" s="66"/>
      <c r="XU51" s="66"/>
      <c r="XV51" s="66"/>
      <c r="XW51" s="66"/>
      <c r="XX51" s="66"/>
      <c r="XY51" s="66"/>
      <c r="XZ51" s="66"/>
      <c r="YA51" s="66"/>
      <c r="YB51" s="66"/>
      <c r="YC51" s="66"/>
      <c r="YD51" s="66"/>
      <c r="YE51" s="66"/>
      <c r="YF51" s="66"/>
      <c r="YG51" s="66"/>
      <c r="YH51" s="66"/>
      <c r="YI51" s="66"/>
      <c r="YJ51" s="66"/>
      <c r="YK51" s="66"/>
      <c r="YL51" s="66"/>
      <c r="YM51" s="66"/>
      <c r="YN51" s="66"/>
      <c r="YO51" s="66"/>
      <c r="YP51" s="66"/>
      <c r="YQ51" s="66"/>
      <c r="YR51" s="66"/>
      <c r="YS51" s="66"/>
      <c r="YT51" s="66"/>
      <c r="YU51" s="66"/>
      <c r="YV51" s="66"/>
      <c r="YW51" s="66"/>
      <c r="YX51" s="66"/>
      <c r="YY51" s="66"/>
      <c r="YZ51" s="66"/>
      <c r="ZA51" s="66"/>
      <c r="ZB51" s="66"/>
      <c r="ZC51" s="66"/>
      <c r="ZD51" s="66"/>
      <c r="ZE51" s="66"/>
      <c r="ZF51" s="66"/>
      <c r="ZG51" s="66"/>
      <c r="ZH51" s="66"/>
      <c r="ZI51" s="66"/>
      <c r="ZJ51" s="66"/>
      <c r="ZK51" s="66"/>
      <c r="ZL51" s="66"/>
      <c r="ZM51" s="66"/>
      <c r="ZN51" s="66"/>
      <c r="ZO51" s="66"/>
      <c r="ZP51" s="66"/>
      <c r="ZQ51" s="66"/>
      <c r="ZR51" s="66"/>
      <c r="ZS51" s="66"/>
      <c r="ZT51" s="66"/>
      <c r="ZU51" s="66"/>
      <c r="ZV51" s="66"/>
      <c r="ZW51" s="66"/>
      <c r="ZX51" s="66"/>
      <c r="ZY51" s="66"/>
      <c r="ZZ51" s="66"/>
      <c r="AAA51" s="66"/>
      <c r="AAB51" s="66"/>
      <c r="AAC51" s="66"/>
      <c r="AAD51" s="66"/>
      <c r="AAE51" s="66"/>
      <c r="AAF51" s="66"/>
      <c r="AAG51" s="66"/>
      <c r="AAH51" s="66"/>
      <c r="AAI51" s="66"/>
      <c r="AAJ51" s="66"/>
      <c r="AAK51" s="66"/>
      <c r="AAL51" s="66"/>
      <c r="AAM51" s="66"/>
      <c r="AAN51" s="66"/>
      <c r="AAO51" s="66"/>
      <c r="AAP51" s="66"/>
      <c r="AAQ51" s="66"/>
      <c r="AAR51" s="66"/>
      <c r="AAS51" s="66"/>
      <c r="AAT51" s="66"/>
      <c r="AAU51" s="66"/>
      <c r="AAV51" s="66"/>
      <c r="AAW51" s="66"/>
      <c r="AAX51" s="66"/>
      <c r="AAY51" s="66"/>
      <c r="AAZ51" s="66"/>
      <c r="ABA51" s="66"/>
      <c r="ABB51" s="66"/>
      <c r="ABC51" s="66"/>
      <c r="ABD51" s="66"/>
      <c r="ABE51" s="66"/>
      <c r="ABF51" s="66"/>
      <c r="ABG51" s="66"/>
      <c r="ABH51" s="66"/>
      <c r="ABI51" s="66"/>
      <c r="ABJ51" s="66"/>
      <c r="ABK51" s="66"/>
      <c r="ABL51" s="66"/>
      <c r="ABM51" s="66"/>
      <c r="ABN51" s="66"/>
      <c r="ABO51" s="66"/>
      <c r="ABP51" s="66"/>
      <c r="ABQ51" s="66"/>
      <c r="ABR51" s="66"/>
      <c r="ABS51" s="66"/>
      <c r="ABT51" s="66"/>
      <c r="ABU51" s="66"/>
      <c r="ABV51" s="66"/>
      <c r="ABW51" s="66"/>
      <c r="ABX51" s="66"/>
      <c r="ABY51" s="66"/>
      <c r="ABZ51" s="66"/>
      <c r="ACA51" s="66"/>
      <c r="ACB51" s="66"/>
      <c r="ACC51" s="66"/>
      <c r="ACD51" s="66"/>
      <c r="ACE51" s="66"/>
      <c r="ACF51" s="66"/>
      <c r="ACG51" s="66"/>
      <c r="ACH51" s="66"/>
      <c r="ACI51" s="66"/>
      <c r="ACJ51" s="66"/>
      <c r="ACK51" s="66"/>
      <c r="ACL51" s="66"/>
      <c r="ACM51" s="66"/>
      <c r="ACN51" s="66"/>
      <c r="ACO51" s="66"/>
      <c r="ACP51" s="66"/>
      <c r="ACQ51" s="66"/>
      <c r="ACR51" s="66"/>
      <c r="ACS51" s="66"/>
      <c r="ACT51" s="66"/>
      <c r="ACU51" s="66"/>
      <c r="ACV51" s="66"/>
      <c r="ACW51" s="66"/>
      <c r="ACX51" s="66"/>
      <c r="ACY51" s="66"/>
      <c r="ACZ51" s="66"/>
      <c r="ADA51" s="66"/>
      <c r="ADB51" s="66"/>
      <c r="ADC51" s="66"/>
      <c r="ADD51" s="66"/>
      <c r="ADE51" s="66"/>
      <c r="ADF51" s="66"/>
      <c r="ADG51" s="66"/>
      <c r="ADH51" s="66"/>
      <c r="ADI51" s="66"/>
      <c r="ADJ51" s="66"/>
      <c r="ADK51" s="66"/>
      <c r="ADL51" s="66"/>
      <c r="ADM51" s="66"/>
      <c r="ADN51" s="66"/>
      <c r="ADO51" s="66"/>
      <c r="ADP51" s="66"/>
      <c r="ADQ51" s="66"/>
      <c r="ADR51" s="66"/>
      <c r="ADS51" s="66"/>
      <c r="ADT51" s="66"/>
      <c r="ADU51" s="66"/>
      <c r="ADV51" s="66"/>
      <c r="ADW51" s="66"/>
      <c r="ADX51" s="66"/>
      <c r="ADY51" s="66"/>
      <c r="ADZ51" s="66"/>
      <c r="AEA51" s="66"/>
      <c r="AEB51" s="66"/>
      <c r="AEC51" s="66"/>
      <c r="AED51" s="66"/>
      <c r="AEE51" s="66"/>
      <c r="AEF51" s="66"/>
      <c r="AEG51" s="66"/>
      <c r="AEH51" s="66"/>
      <c r="AEI51" s="66"/>
      <c r="AEJ51" s="66"/>
      <c r="AEK51" s="66"/>
      <c r="AEL51" s="66"/>
      <c r="AEM51" s="66"/>
      <c r="AEN51" s="66"/>
      <c r="AEO51" s="66"/>
      <c r="AEP51" s="66"/>
      <c r="AEQ51" s="66"/>
      <c r="AER51" s="66"/>
      <c r="AES51" s="66"/>
      <c r="AET51" s="66"/>
      <c r="AEU51" s="66"/>
      <c r="AEV51" s="66"/>
      <c r="AEW51" s="66"/>
      <c r="AEX51" s="66"/>
      <c r="AEY51" s="66"/>
      <c r="AEZ51" s="66"/>
      <c r="AFA51" s="66"/>
      <c r="AFB51" s="66"/>
      <c r="AFC51" s="66"/>
      <c r="AFD51" s="66"/>
      <c r="AFE51" s="66"/>
      <c r="AFF51" s="66"/>
      <c r="AFG51" s="66"/>
      <c r="AFH51" s="66"/>
      <c r="AFI51" s="66"/>
      <c r="AFJ51" s="66"/>
      <c r="AFK51" s="66"/>
      <c r="AFL51" s="66"/>
      <c r="AFM51" s="66"/>
      <c r="AFN51" s="66"/>
      <c r="AFO51" s="66"/>
      <c r="AFP51" s="66"/>
      <c r="AFQ51" s="66"/>
      <c r="AFR51" s="66"/>
      <c r="AFS51" s="66"/>
      <c r="AFT51" s="66"/>
      <c r="AFU51" s="66"/>
      <c r="AFV51" s="66"/>
      <c r="AFW51" s="66"/>
      <c r="AFX51" s="66"/>
      <c r="AFY51" s="66"/>
      <c r="AFZ51" s="66"/>
      <c r="AGA51" s="66"/>
      <c r="AGB51" s="66"/>
      <c r="AGC51" s="66"/>
      <c r="AGD51" s="66"/>
      <c r="AGE51" s="66"/>
      <c r="AGF51" s="66"/>
      <c r="AGG51" s="66"/>
      <c r="AGH51" s="66"/>
      <c r="AGI51" s="66"/>
      <c r="AGJ51" s="66"/>
      <c r="AGK51" s="66"/>
      <c r="AGL51" s="66"/>
      <c r="AGM51" s="66"/>
      <c r="AGN51" s="66"/>
      <c r="AGO51" s="66"/>
      <c r="AGP51" s="66"/>
      <c r="AGQ51" s="66"/>
      <c r="AGR51" s="66"/>
      <c r="AGS51" s="66"/>
      <c r="AGT51" s="66"/>
      <c r="AGU51" s="66"/>
      <c r="AGV51" s="66"/>
      <c r="AGW51" s="66"/>
      <c r="AGX51" s="66"/>
      <c r="AGY51" s="66"/>
      <c r="AGZ51" s="66"/>
      <c r="AHA51" s="66"/>
      <c r="AHB51" s="66"/>
      <c r="AHC51" s="66"/>
      <c r="AHD51" s="66"/>
      <c r="AHE51" s="66"/>
      <c r="AHF51" s="66"/>
      <c r="AHG51" s="66"/>
      <c r="AHH51" s="66"/>
      <c r="AHI51" s="66"/>
      <c r="AHJ51" s="66"/>
      <c r="AHK51" s="66"/>
      <c r="AHL51" s="66"/>
      <c r="AHM51" s="66"/>
      <c r="AHN51" s="66"/>
      <c r="AHO51" s="66"/>
      <c r="AHP51" s="66"/>
      <c r="AHQ51" s="66"/>
      <c r="AHR51" s="66"/>
      <c r="AHS51" s="66"/>
      <c r="AHT51" s="66"/>
      <c r="AHU51" s="66"/>
      <c r="AHV51" s="66"/>
      <c r="AHW51" s="66"/>
      <c r="AHX51" s="66"/>
      <c r="AHY51" s="66"/>
      <c r="AHZ51" s="66"/>
      <c r="AIA51" s="66"/>
      <c r="AIB51" s="66"/>
      <c r="AIC51" s="66"/>
      <c r="AID51" s="66"/>
      <c r="AIE51" s="66"/>
      <c r="AIF51" s="66"/>
      <c r="AIG51" s="66"/>
      <c r="AIH51" s="66"/>
      <c r="AII51" s="66"/>
      <c r="AIJ51" s="66"/>
      <c r="AIK51" s="66"/>
      <c r="AIL51" s="66"/>
      <c r="AIM51" s="66"/>
      <c r="AIN51" s="66"/>
      <c r="AIO51" s="66"/>
      <c r="AIP51" s="66"/>
      <c r="AIQ51" s="66"/>
      <c r="AIR51" s="66"/>
      <c r="AIS51" s="66"/>
      <c r="AIT51" s="66"/>
      <c r="AIU51" s="66"/>
      <c r="AIV51" s="66"/>
      <c r="AIW51" s="66"/>
      <c r="AIX51" s="66"/>
      <c r="AIY51" s="66"/>
      <c r="AIZ51" s="66"/>
      <c r="AJA51" s="66"/>
      <c r="AJB51" s="66"/>
      <c r="AJC51" s="66"/>
      <c r="AJD51" s="66"/>
      <c r="AJE51" s="66"/>
      <c r="AJF51" s="66"/>
      <c r="AJG51" s="66"/>
      <c r="AJH51" s="66"/>
      <c r="AJI51" s="66"/>
      <c r="AJJ51" s="66"/>
      <c r="AJK51" s="66"/>
      <c r="AJL51" s="66"/>
      <c r="AJM51" s="66"/>
      <c r="AJN51" s="66"/>
      <c r="AJO51" s="66"/>
      <c r="AJP51" s="66"/>
      <c r="AJQ51" s="66"/>
      <c r="AJR51" s="66"/>
      <c r="AJS51" s="66"/>
      <c r="AJT51" s="66"/>
      <c r="AJU51" s="66"/>
      <c r="AJV51" s="66"/>
      <c r="AJW51" s="66"/>
      <c r="AJX51" s="66"/>
      <c r="AJY51" s="66"/>
      <c r="AJZ51" s="66"/>
      <c r="AKA51" s="66"/>
      <c r="AKB51" s="66"/>
      <c r="AKC51" s="66"/>
      <c r="AKD51" s="66"/>
      <c r="AKE51" s="66"/>
      <c r="AKF51" s="66"/>
      <c r="AKG51" s="66"/>
      <c r="AKH51" s="66"/>
      <c r="AKI51" s="66"/>
      <c r="AKJ51" s="66"/>
      <c r="AKK51" s="66"/>
      <c r="AKL51" s="66"/>
      <c r="AKM51" s="66"/>
      <c r="AKN51" s="66"/>
      <c r="AKO51" s="66"/>
      <c r="AKP51" s="66"/>
      <c r="AKQ51" s="66"/>
      <c r="AKR51" s="66"/>
      <c r="AKS51" s="66"/>
      <c r="AKT51" s="66"/>
      <c r="AKU51" s="66"/>
      <c r="AKV51" s="66"/>
      <c r="AKW51" s="66"/>
      <c r="AKX51" s="66"/>
      <c r="AKY51" s="66"/>
      <c r="AKZ51" s="66"/>
      <c r="ALA51" s="66"/>
      <c r="ALB51" s="66"/>
      <c r="ALC51" s="66"/>
      <c r="ALD51" s="66"/>
      <c r="ALE51" s="66"/>
      <c r="ALF51" s="66"/>
      <c r="ALG51" s="66"/>
      <c r="ALH51" s="66"/>
      <c r="ALI51" s="66"/>
      <c r="ALJ51" s="66"/>
      <c r="ALK51" s="66"/>
      <c r="ALL51" s="66"/>
      <c r="ALM51" s="66"/>
      <c r="ALN51" s="66"/>
      <c r="ALO51" s="66"/>
      <c r="ALP51" s="66"/>
      <c r="ALQ51" s="66"/>
      <c r="ALR51" s="66"/>
      <c r="ALS51" s="66"/>
      <c r="ALT51" s="66"/>
      <c r="ALU51" s="66"/>
      <c r="ALV51" s="66"/>
      <c r="ALW51" s="66"/>
      <c r="ALX51" s="66"/>
      <c r="ALY51" s="66"/>
      <c r="ALZ51" s="66"/>
      <c r="AMA51" s="66"/>
      <c r="AMB51" s="66"/>
      <c r="AMC51" s="66"/>
      <c r="AMD51" s="66"/>
      <c r="AME51" s="66"/>
      <c r="AMF51" s="66"/>
      <c r="AMG51" s="66"/>
      <c r="AMH51" s="66"/>
      <c r="AMI51" s="66"/>
      <c r="AMJ51" s="66"/>
    </row>
    <row r="52" customFormat="false" ht="17.25" hidden="false" customHeight="false" outlineLevel="0" collapsed="false">
      <c r="A52" s="44"/>
      <c r="B52" s="45"/>
      <c r="C52" s="46"/>
      <c r="D52" s="47"/>
      <c r="E52" s="48"/>
      <c r="F52" s="46"/>
      <c r="G52" s="49"/>
      <c r="H52" s="41"/>
      <c r="I52" s="41"/>
      <c r="J52" s="41"/>
      <c r="K52" s="42"/>
      <c r="L52" s="42"/>
      <c r="M52" s="7"/>
      <c r="N52" s="7"/>
      <c r="O52" s="7"/>
      <c r="P52" s="7"/>
      <c r="Q52" s="7"/>
    </row>
    <row r="53" s="70" customFormat="true" ht="25.5" hidden="false" customHeight="true" outlineLevel="0" collapsed="false">
      <c r="A53" s="68" t="s">
        <v>157</v>
      </c>
      <c r="B53" s="68"/>
      <c r="C53" s="68"/>
      <c r="D53" s="68"/>
      <c r="E53" s="68"/>
      <c r="F53" s="68"/>
      <c r="G53" s="68"/>
      <c r="H53" s="63"/>
      <c r="I53" s="63"/>
      <c r="J53" s="63"/>
      <c r="K53" s="64" t="n">
        <v>39</v>
      </c>
      <c r="L53" s="64" t="n">
        <f aca="false">I66*J66*K53</f>
        <v>0</v>
      </c>
      <c r="M53" s="41"/>
      <c r="N53" s="41"/>
      <c r="O53" s="41"/>
      <c r="P53" s="41"/>
      <c r="Q53" s="41"/>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9"/>
      <c r="BM53" s="69"/>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c r="EO53" s="69"/>
      <c r="EP53" s="69"/>
      <c r="EQ53" s="69"/>
      <c r="ER53" s="69"/>
      <c r="ES53" s="69"/>
      <c r="ET53" s="69"/>
      <c r="EU53" s="69"/>
      <c r="EV53" s="69"/>
      <c r="EW53" s="69"/>
      <c r="EX53" s="69"/>
      <c r="EY53" s="69"/>
      <c r="EZ53" s="69"/>
      <c r="FA53" s="69"/>
      <c r="FB53" s="69"/>
      <c r="FC53" s="69"/>
      <c r="FD53" s="69"/>
      <c r="FE53" s="69"/>
      <c r="FF53" s="69"/>
      <c r="FG53" s="69"/>
      <c r="FH53" s="69"/>
      <c r="FI53" s="69"/>
      <c r="FJ53" s="69"/>
      <c r="FK53" s="69"/>
      <c r="FL53" s="69"/>
      <c r="FM53" s="69"/>
      <c r="FN53" s="69"/>
      <c r="FO53" s="69"/>
      <c r="FP53" s="69"/>
      <c r="FQ53" s="69"/>
      <c r="FR53" s="69"/>
      <c r="FS53" s="69"/>
      <c r="FT53" s="69"/>
      <c r="FU53" s="69"/>
      <c r="FV53" s="69"/>
      <c r="FW53" s="69"/>
      <c r="FX53" s="69"/>
      <c r="FY53" s="69"/>
      <c r="FZ53" s="69"/>
      <c r="GA53" s="69"/>
      <c r="GB53" s="69"/>
      <c r="GC53" s="69"/>
      <c r="GD53" s="69"/>
      <c r="GE53" s="69"/>
      <c r="GF53" s="69"/>
      <c r="GG53" s="69"/>
      <c r="GH53" s="69"/>
      <c r="GI53" s="69"/>
      <c r="GJ53" s="69"/>
      <c r="GK53" s="69"/>
      <c r="GL53" s="69"/>
      <c r="GM53" s="69"/>
      <c r="GN53" s="69"/>
      <c r="GO53" s="69"/>
      <c r="GP53" s="69"/>
      <c r="GQ53" s="69"/>
      <c r="GR53" s="69"/>
      <c r="GS53" s="69"/>
      <c r="GT53" s="69"/>
      <c r="GU53" s="69"/>
      <c r="GV53" s="69"/>
      <c r="GW53" s="69"/>
      <c r="GX53" s="69"/>
      <c r="GY53" s="69"/>
      <c r="GZ53" s="69"/>
      <c r="HA53" s="69"/>
      <c r="HB53" s="69"/>
      <c r="HC53" s="69"/>
      <c r="HD53" s="69"/>
      <c r="HE53" s="69"/>
      <c r="HF53" s="69"/>
      <c r="HG53" s="69"/>
      <c r="HH53" s="69"/>
      <c r="HI53" s="69"/>
      <c r="HJ53" s="69"/>
      <c r="HK53" s="69"/>
      <c r="HL53" s="69"/>
      <c r="HM53" s="69"/>
      <c r="HN53" s="69"/>
      <c r="HO53" s="69"/>
      <c r="HP53" s="69"/>
      <c r="HQ53" s="69"/>
      <c r="HR53" s="69"/>
      <c r="HS53" s="69"/>
      <c r="HT53" s="69"/>
      <c r="HU53" s="69"/>
      <c r="HV53" s="69"/>
      <c r="HW53" s="69"/>
      <c r="HX53" s="69"/>
      <c r="HY53" s="69"/>
      <c r="HZ53" s="69"/>
      <c r="IA53" s="69"/>
      <c r="IB53" s="69"/>
      <c r="IC53" s="69"/>
      <c r="ID53" s="69"/>
      <c r="IE53" s="69"/>
      <c r="IF53" s="69"/>
      <c r="IG53" s="69"/>
      <c r="IH53" s="69"/>
      <c r="II53" s="69"/>
      <c r="IJ53" s="69"/>
      <c r="IK53" s="69"/>
      <c r="IL53" s="69"/>
      <c r="IM53" s="69"/>
      <c r="IN53" s="69"/>
      <c r="IO53" s="69"/>
      <c r="IP53" s="69"/>
      <c r="IQ53" s="69"/>
      <c r="IR53" s="69"/>
      <c r="IS53" s="69"/>
      <c r="IT53" s="69"/>
      <c r="IU53" s="69"/>
      <c r="IV53" s="69"/>
      <c r="IW53" s="69"/>
      <c r="IX53" s="69"/>
      <c r="IY53" s="69"/>
      <c r="IZ53" s="69"/>
      <c r="JA53" s="69"/>
      <c r="JB53" s="69"/>
      <c r="JC53" s="69"/>
      <c r="JD53" s="69"/>
      <c r="JE53" s="69"/>
      <c r="JF53" s="69"/>
      <c r="JG53" s="69"/>
      <c r="JH53" s="69"/>
      <c r="JI53" s="69"/>
      <c r="JJ53" s="69"/>
      <c r="JK53" s="69"/>
      <c r="JL53" s="69"/>
      <c r="JM53" s="69"/>
      <c r="JN53" s="69"/>
      <c r="JO53" s="69"/>
      <c r="JP53" s="69"/>
      <c r="JQ53" s="69"/>
      <c r="JR53" s="69"/>
      <c r="JS53" s="69"/>
      <c r="JT53" s="69"/>
      <c r="JU53" s="69"/>
      <c r="JV53" s="69"/>
      <c r="JW53" s="69"/>
      <c r="JX53" s="69"/>
      <c r="JY53" s="69"/>
      <c r="JZ53" s="69"/>
      <c r="KA53" s="69"/>
      <c r="KB53" s="69"/>
      <c r="KC53" s="69"/>
      <c r="KD53" s="69"/>
      <c r="KE53" s="69"/>
      <c r="KF53" s="69"/>
      <c r="KG53" s="69"/>
      <c r="KH53" s="69"/>
      <c r="KI53" s="69"/>
      <c r="KJ53" s="69"/>
      <c r="KK53" s="69"/>
      <c r="KL53" s="69"/>
      <c r="KM53" s="69"/>
      <c r="KN53" s="69"/>
      <c r="KO53" s="69"/>
      <c r="KP53" s="69"/>
      <c r="KQ53" s="69"/>
      <c r="KR53" s="69"/>
      <c r="KS53" s="69"/>
      <c r="KT53" s="69"/>
      <c r="KU53" s="69"/>
      <c r="KV53" s="69"/>
      <c r="KW53" s="69"/>
      <c r="KX53" s="69"/>
      <c r="KY53" s="69"/>
      <c r="KZ53" s="69"/>
      <c r="LA53" s="69"/>
      <c r="LB53" s="69"/>
      <c r="LC53" s="69"/>
      <c r="LD53" s="69"/>
      <c r="LE53" s="69"/>
      <c r="LF53" s="69"/>
      <c r="LG53" s="69"/>
      <c r="LH53" s="69"/>
      <c r="LI53" s="69"/>
      <c r="LJ53" s="69"/>
      <c r="LK53" s="69"/>
      <c r="LL53" s="69"/>
      <c r="LM53" s="69"/>
      <c r="LN53" s="69"/>
      <c r="LO53" s="69"/>
      <c r="LP53" s="69"/>
      <c r="LQ53" s="69"/>
      <c r="LR53" s="69"/>
      <c r="LS53" s="69"/>
      <c r="LT53" s="69"/>
      <c r="LU53" s="69"/>
      <c r="LV53" s="69"/>
      <c r="LW53" s="69"/>
      <c r="LX53" s="69"/>
      <c r="LY53" s="69"/>
      <c r="LZ53" s="69"/>
      <c r="MA53" s="69"/>
      <c r="MB53" s="69"/>
      <c r="MC53" s="69"/>
      <c r="MD53" s="69"/>
      <c r="ME53" s="69"/>
      <c r="MF53" s="69"/>
      <c r="MG53" s="69"/>
      <c r="MH53" s="69"/>
      <c r="MI53" s="69"/>
      <c r="MJ53" s="69"/>
      <c r="MK53" s="69"/>
      <c r="ML53" s="69"/>
      <c r="MM53" s="69"/>
      <c r="MN53" s="69"/>
      <c r="MO53" s="69"/>
      <c r="MP53" s="69"/>
      <c r="MQ53" s="69"/>
      <c r="MR53" s="69"/>
      <c r="MS53" s="69"/>
      <c r="MT53" s="69"/>
      <c r="MU53" s="69"/>
      <c r="MV53" s="69"/>
      <c r="MW53" s="69"/>
      <c r="MX53" s="69"/>
      <c r="MY53" s="69"/>
      <c r="MZ53" s="69"/>
      <c r="NA53" s="69"/>
      <c r="NB53" s="69"/>
      <c r="NC53" s="69"/>
      <c r="ND53" s="69"/>
      <c r="NE53" s="69"/>
      <c r="NF53" s="69"/>
      <c r="NG53" s="69"/>
      <c r="NH53" s="69"/>
      <c r="NI53" s="69"/>
      <c r="NJ53" s="69"/>
      <c r="NK53" s="69"/>
      <c r="NL53" s="69"/>
      <c r="NM53" s="69"/>
      <c r="NN53" s="69"/>
      <c r="NO53" s="69"/>
      <c r="NP53" s="69"/>
      <c r="NQ53" s="69"/>
      <c r="NR53" s="69"/>
      <c r="NS53" s="69"/>
      <c r="NT53" s="69"/>
      <c r="NU53" s="69"/>
      <c r="NV53" s="69"/>
      <c r="NW53" s="69"/>
      <c r="NX53" s="69"/>
      <c r="NY53" s="69"/>
      <c r="NZ53" s="69"/>
      <c r="OA53" s="69"/>
      <c r="OB53" s="69"/>
      <c r="OC53" s="69"/>
      <c r="OD53" s="69"/>
      <c r="OE53" s="69"/>
      <c r="OF53" s="69"/>
      <c r="OG53" s="69"/>
      <c r="OH53" s="69"/>
      <c r="OI53" s="69"/>
      <c r="OJ53" s="69"/>
      <c r="OK53" s="69"/>
      <c r="OL53" s="69"/>
      <c r="OM53" s="69"/>
      <c r="ON53" s="69"/>
      <c r="OO53" s="69"/>
      <c r="OP53" s="69"/>
      <c r="OQ53" s="69"/>
      <c r="OR53" s="69"/>
      <c r="OS53" s="69"/>
      <c r="OT53" s="69"/>
      <c r="OU53" s="69"/>
      <c r="OV53" s="69"/>
      <c r="OW53" s="69"/>
      <c r="OX53" s="69"/>
      <c r="OY53" s="69"/>
      <c r="OZ53" s="69"/>
      <c r="PA53" s="69"/>
      <c r="PB53" s="69"/>
      <c r="PC53" s="69"/>
      <c r="PD53" s="69"/>
      <c r="PE53" s="69"/>
      <c r="PF53" s="69"/>
      <c r="PG53" s="69"/>
      <c r="PH53" s="69"/>
      <c r="PI53" s="69"/>
      <c r="PJ53" s="69"/>
      <c r="PK53" s="69"/>
      <c r="PL53" s="69"/>
      <c r="PM53" s="69"/>
      <c r="PN53" s="69"/>
      <c r="PO53" s="69"/>
      <c r="PP53" s="69"/>
      <c r="PQ53" s="69"/>
      <c r="PR53" s="69"/>
      <c r="PS53" s="69"/>
      <c r="PT53" s="69"/>
      <c r="PU53" s="69"/>
      <c r="PV53" s="69"/>
      <c r="PW53" s="69"/>
      <c r="PX53" s="69"/>
      <c r="PY53" s="69"/>
      <c r="PZ53" s="69"/>
      <c r="QA53" s="69"/>
      <c r="QB53" s="69"/>
      <c r="QC53" s="69"/>
      <c r="QD53" s="69"/>
      <c r="QE53" s="69"/>
      <c r="QF53" s="69"/>
      <c r="QG53" s="69"/>
      <c r="QH53" s="69"/>
      <c r="QI53" s="69"/>
      <c r="QJ53" s="69"/>
      <c r="QK53" s="69"/>
      <c r="QL53" s="69"/>
      <c r="QM53" s="69"/>
      <c r="QN53" s="69"/>
      <c r="QO53" s="69"/>
      <c r="QP53" s="69"/>
      <c r="QQ53" s="69"/>
      <c r="QR53" s="69"/>
      <c r="QS53" s="69"/>
      <c r="QT53" s="69"/>
      <c r="QU53" s="69"/>
      <c r="QV53" s="69"/>
      <c r="QW53" s="69"/>
      <c r="QX53" s="69"/>
      <c r="QY53" s="69"/>
      <c r="QZ53" s="69"/>
      <c r="RA53" s="69"/>
      <c r="RB53" s="69"/>
      <c r="RC53" s="69"/>
      <c r="RD53" s="69"/>
      <c r="RE53" s="69"/>
      <c r="RF53" s="69"/>
      <c r="RG53" s="69"/>
      <c r="RH53" s="69"/>
      <c r="RI53" s="69"/>
      <c r="RJ53" s="69"/>
      <c r="RK53" s="69"/>
      <c r="RL53" s="69"/>
      <c r="RM53" s="69"/>
      <c r="RN53" s="69"/>
      <c r="RO53" s="69"/>
      <c r="RP53" s="69"/>
      <c r="RQ53" s="69"/>
      <c r="RR53" s="69"/>
      <c r="RS53" s="69"/>
      <c r="RT53" s="69"/>
      <c r="RU53" s="69"/>
      <c r="RV53" s="69"/>
      <c r="RW53" s="69"/>
      <c r="RX53" s="69"/>
      <c r="RY53" s="69"/>
      <c r="RZ53" s="69"/>
      <c r="SA53" s="69"/>
      <c r="SB53" s="69"/>
      <c r="SC53" s="69"/>
      <c r="SD53" s="69"/>
      <c r="SE53" s="69"/>
      <c r="SF53" s="69"/>
      <c r="SG53" s="69"/>
      <c r="SH53" s="69"/>
      <c r="SI53" s="69"/>
      <c r="SJ53" s="69"/>
      <c r="SK53" s="69"/>
      <c r="SL53" s="69"/>
      <c r="SM53" s="69"/>
      <c r="SN53" s="69"/>
      <c r="SO53" s="69"/>
      <c r="SP53" s="69"/>
      <c r="SQ53" s="69"/>
      <c r="SR53" s="69"/>
      <c r="SS53" s="69"/>
      <c r="ST53" s="69"/>
      <c r="SU53" s="69"/>
      <c r="SV53" s="69"/>
      <c r="SW53" s="69"/>
      <c r="SX53" s="69"/>
      <c r="SY53" s="69"/>
      <c r="SZ53" s="69"/>
      <c r="TA53" s="69"/>
      <c r="TB53" s="69"/>
      <c r="TC53" s="69"/>
      <c r="TD53" s="69"/>
      <c r="TE53" s="69"/>
      <c r="TF53" s="69"/>
      <c r="TG53" s="69"/>
      <c r="TH53" s="69"/>
      <c r="TI53" s="69"/>
      <c r="TJ53" s="69"/>
      <c r="TK53" s="69"/>
      <c r="TL53" s="69"/>
      <c r="TM53" s="69"/>
      <c r="TN53" s="69"/>
      <c r="TO53" s="69"/>
      <c r="TP53" s="69"/>
      <c r="TQ53" s="69"/>
      <c r="TR53" s="69"/>
      <c r="TS53" s="69"/>
      <c r="TT53" s="69"/>
      <c r="TU53" s="69"/>
      <c r="TV53" s="69"/>
      <c r="TW53" s="69"/>
      <c r="TX53" s="69"/>
      <c r="TY53" s="69"/>
      <c r="TZ53" s="69"/>
      <c r="UA53" s="69"/>
      <c r="UB53" s="69"/>
      <c r="UC53" s="69"/>
      <c r="UD53" s="69"/>
      <c r="UE53" s="69"/>
      <c r="UF53" s="69"/>
      <c r="UG53" s="69"/>
      <c r="UH53" s="69"/>
      <c r="UI53" s="69"/>
      <c r="UJ53" s="69"/>
      <c r="UK53" s="69"/>
      <c r="UL53" s="69"/>
      <c r="UM53" s="69"/>
      <c r="UN53" s="69"/>
      <c r="UO53" s="69"/>
      <c r="UP53" s="69"/>
      <c r="UQ53" s="69"/>
      <c r="UR53" s="69"/>
      <c r="US53" s="69"/>
      <c r="UT53" s="69"/>
      <c r="UU53" s="69"/>
      <c r="UV53" s="69"/>
      <c r="UW53" s="69"/>
      <c r="UX53" s="69"/>
      <c r="UY53" s="69"/>
      <c r="UZ53" s="69"/>
      <c r="VA53" s="69"/>
      <c r="VB53" s="69"/>
      <c r="VC53" s="69"/>
      <c r="VD53" s="69"/>
      <c r="VE53" s="69"/>
      <c r="VF53" s="69"/>
      <c r="VG53" s="69"/>
      <c r="VH53" s="69"/>
      <c r="VI53" s="69"/>
      <c r="VJ53" s="69"/>
      <c r="VK53" s="69"/>
      <c r="VL53" s="69"/>
      <c r="VM53" s="69"/>
      <c r="VN53" s="69"/>
      <c r="VO53" s="69"/>
      <c r="VP53" s="69"/>
      <c r="VQ53" s="69"/>
      <c r="VR53" s="69"/>
      <c r="VS53" s="69"/>
      <c r="VT53" s="69"/>
      <c r="VU53" s="69"/>
      <c r="VV53" s="69"/>
      <c r="VW53" s="69"/>
      <c r="VX53" s="69"/>
      <c r="VY53" s="69"/>
      <c r="VZ53" s="69"/>
      <c r="WA53" s="69"/>
      <c r="WB53" s="69"/>
      <c r="WC53" s="69"/>
      <c r="WD53" s="69"/>
      <c r="WE53" s="69"/>
      <c r="WF53" s="69"/>
      <c r="WG53" s="69"/>
      <c r="WH53" s="69"/>
      <c r="WI53" s="69"/>
      <c r="WJ53" s="69"/>
      <c r="WK53" s="69"/>
      <c r="WL53" s="69"/>
      <c r="WM53" s="69"/>
      <c r="WN53" s="69"/>
      <c r="WO53" s="69"/>
      <c r="WP53" s="69"/>
      <c r="WQ53" s="69"/>
      <c r="WR53" s="69"/>
      <c r="WS53" s="69"/>
      <c r="WT53" s="69"/>
      <c r="WU53" s="69"/>
      <c r="WV53" s="69"/>
      <c r="WW53" s="69"/>
      <c r="WX53" s="69"/>
      <c r="WY53" s="69"/>
      <c r="WZ53" s="69"/>
      <c r="XA53" s="69"/>
      <c r="XB53" s="69"/>
      <c r="XC53" s="69"/>
      <c r="XD53" s="69"/>
      <c r="XE53" s="69"/>
      <c r="XF53" s="69"/>
      <c r="XG53" s="69"/>
      <c r="XH53" s="69"/>
      <c r="XI53" s="69"/>
      <c r="XJ53" s="69"/>
      <c r="XK53" s="69"/>
      <c r="XL53" s="69"/>
      <c r="XM53" s="69"/>
      <c r="XN53" s="69"/>
      <c r="XO53" s="69"/>
      <c r="XP53" s="69"/>
      <c r="XQ53" s="69"/>
      <c r="XR53" s="69"/>
      <c r="XS53" s="69"/>
      <c r="XT53" s="69"/>
      <c r="XU53" s="69"/>
      <c r="XV53" s="69"/>
      <c r="XW53" s="69"/>
      <c r="XX53" s="69"/>
      <c r="XY53" s="69"/>
      <c r="XZ53" s="69"/>
      <c r="YA53" s="69"/>
      <c r="YB53" s="69"/>
      <c r="YC53" s="69"/>
      <c r="YD53" s="69"/>
      <c r="YE53" s="69"/>
      <c r="YF53" s="69"/>
      <c r="YG53" s="69"/>
      <c r="YH53" s="69"/>
      <c r="YI53" s="69"/>
      <c r="YJ53" s="69"/>
      <c r="YK53" s="69"/>
      <c r="YL53" s="69"/>
      <c r="YM53" s="69"/>
      <c r="YN53" s="69"/>
      <c r="YO53" s="69"/>
      <c r="YP53" s="69"/>
      <c r="YQ53" s="69"/>
      <c r="YR53" s="69"/>
      <c r="YS53" s="69"/>
      <c r="YT53" s="69"/>
      <c r="YU53" s="69"/>
      <c r="YV53" s="69"/>
      <c r="YW53" s="69"/>
      <c r="YX53" s="69"/>
      <c r="YY53" s="69"/>
      <c r="YZ53" s="69"/>
      <c r="ZA53" s="69"/>
      <c r="ZB53" s="69"/>
      <c r="ZC53" s="69"/>
      <c r="ZD53" s="69"/>
      <c r="ZE53" s="69"/>
      <c r="ZF53" s="69"/>
      <c r="ZG53" s="69"/>
      <c r="ZH53" s="69"/>
      <c r="ZI53" s="69"/>
      <c r="ZJ53" s="69"/>
      <c r="ZK53" s="69"/>
      <c r="ZL53" s="69"/>
      <c r="ZM53" s="69"/>
      <c r="ZN53" s="69"/>
      <c r="ZO53" s="69"/>
      <c r="ZP53" s="69"/>
      <c r="ZQ53" s="69"/>
      <c r="ZR53" s="69"/>
      <c r="ZS53" s="69"/>
      <c r="ZT53" s="69"/>
      <c r="ZU53" s="69"/>
      <c r="ZV53" s="69"/>
      <c r="ZW53" s="69"/>
      <c r="ZX53" s="69"/>
      <c r="ZY53" s="69"/>
      <c r="ZZ53" s="69"/>
      <c r="AAA53" s="69"/>
      <c r="AAB53" s="69"/>
      <c r="AAC53" s="69"/>
      <c r="AAD53" s="69"/>
      <c r="AAE53" s="69"/>
      <c r="AAF53" s="69"/>
      <c r="AAG53" s="69"/>
      <c r="AAH53" s="69"/>
      <c r="AAI53" s="69"/>
      <c r="AAJ53" s="69"/>
      <c r="AAK53" s="69"/>
      <c r="AAL53" s="69"/>
      <c r="AAM53" s="69"/>
      <c r="AAN53" s="69"/>
      <c r="AAO53" s="69"/>
      <c r="AAP53" s="69"/>
      <c r="AAQ53" s="69"/>
      <c r="AAR53" s="69"/>
      <c r="AAS53" s="69"/>
      <c r="AAT53" s="69"/>
      <c r="AAU53" s="69"/>
      <c r="AAV53" s="69"/>
      <c r="AAW53" s="69"/>
      <c r="AAX53" s="69"/>
      <c r="AAY53" s="69"/>
      <c r="AAZ53" s="69"/>
      <c r="ABA53" s="69"/>
      <c r="ABB53" s="69"/>
      <c r="ABC53" s="69"/>
      <c r="ABD53" s="69"/>
      <c r="ABE53" s="69"/>
      <c r="ABF53" s="69"/>
      <c r="ABG53" s="69"/>
      <c r="ABH53" s="69"/>
      <c r="ABI53" s="69"/>
      <c r="ABJ53" s="69"/>
      <c r="ABK53" s="69"/>
      <c r="ABL53" s="69"/>
      <c r="ABM53" s="69"/>
      <c r="ABN53" s="69"/>
      <c r="ABO53" s="69"/>
      <c r="ABP53" s="69"/>
      <c r="ABQ53" s="69"/>
      <c r="ABR53" s="69"/>
      <c r="ABS53" s="69"/>
      <c r="ABT53" s="69"/>
      <c r="ABU53" s="69"/>
      <c r="ABV53" s="69"/>
      <c r="ABW53" s="69"/>
      <c r="ABX53" s="69"/>
      <c r="ABY53" s="69"/>
      <c r="ABZ53" s="69"/>
      <c r="ACA53" s="69"/>
      <c r="ACB53" s="69"/>
      <c r="ACC53" s="69"/>
      <c r="ACD53" s="69"/>
      <c r="ACE53" s="69"/>
      <c r="ACF53" s="69"/>
      <c r="ACG53" s="69"/>
      <c r="ACH53" s="69"/>
      <c r="ACI53" s="69"/>
      <c r="ACJ53" s="69"/>
      <c r="ACK53" s="69"/>
      <c r="ACL53" s="69"/>
      <c r="ACM53" s="69"/>
      <c r="ACN53" s="69"/>
      <c r="ACO53" s="69"/>
      <c r="ACP53" s="69"/>
      <c r="ACQ53" s="69"/>
      <c r="ACR53" s="69"/>
      <c r="ACS53" s="69"/>
      <c r="ACT53" s="69"/>
      <c r="ACU53" s="69"/>
      <c r="ACV53" s="69"/>
      <c r="ACW53" s="69"/>
      <c r="ACX53" s="69"/>
      <c r="ACY53" s="69"/>
      <c r="ACZ53" s="69"/>
      <c r="ADA53" s="69"/>
      <c r="ADB53" s="69"/>
      <c r="ADC53" s="69"/>
      <c r="ADD53" s="69"/>
      <c r="ADE53" s="69"/>
      <c r="ADF53" s="69"/>
      <c r="ADG53" s="69"/>
      <c r="ADH53" s="69"/>
      <c r="ADI53" s="69"/>
      <c r="ADJ53" s="69"/>
      <c r="ADK53" s="69"/>
      <c r="ADL53" s="69"/>
      <c r="ADM53" s="69"/>
      <c r="ADN53" s="69"/>
      <c r="ADO53" s="69"/>
      <c r="ADP53" s="69"/>
      <c r="ADQ53" s="69"/>
      <c r="ADR53" s="69"/>
      <c r="ADS53" s="69"/>
      <c r="ADT53" s="69"/>
      <c r="ADU53" s="69"/>
      <c r="ADV53" s="69"/>
      <c r="ADW53" s="69"/>
      <c r="ADX53" s="69"/>
      <c r="ADY53" s="69"/>
      <c r="ADZ53" s="69"/>
      <c r="AEA53" s="69"/>
      <c r="AEB53" s="69"/>
      <c r="AEC53" s="69"/>
      <c r="AED53" s="69"/>
      <c r="AEE53" s="69"/>
      <c r="AEF53" s="69"/>
      <c r="AEG53" s="69"/>
      <c r="AEH53" s="69"/>
      <c r="AEI53" s="69"/>
      <c r="AEJ53" s="69"/>
      <c r="AEK53" s="69"/>
      <c r="AEL53" s="69"/>
      <c r="AEM53" s="69"/>
      <c r="AEN53" s="69"/>
      <c r="AEO53" s="69"/>
      <c r="AEP53" s="69"/>
      <c r="AEQ53" s="69"/>
      <c r="AER53" s="69"/>
      <c r="AES53" s="69"/>
      <c r="AET53" s="69"/>
      <c r="AEU53" s="69"/>
      <c r="AEV53" s="69"/>
      <c r="AEW53" s="69"/>
      <c r="AEX53" s="69"/>
      <c r="AEY53" s="69"/>
      <c r="AEZ53" s="69"/>
      <c r="AFA53" s="69"/>
      <c r="AFB53" s="69"/>
      <c r="AFC53" s="69"/>
      <c r="AFD53" s="69"/>
      <c r="AFE53" s="69"/>
      <c r="AFF53" s="69"/>
      <c r="AFG53" s="69"/>
      <c r="AFH53" s="69"/>
      <c r="AFI53" s="69"/>
      <c r="AFJ53" s="69"/>
      <c r="AFK53" s="69"/>
      <c r="AFL53" s="69"/>
      <c r="AFM53" s="69"/>
      <c r="AFN53" s="69"/>
      <c r="AFO53" s="69"/>
      <c r="AFP53" s="69"/>
      <c r="AFQ53" s="69"/>
      <c r="AFR53" s="69"/>
      <c r="AFS53" s="69"/>
      <c r="AFT53" s="69"/>
      <c r="AFU53" s="69"/>
      <c r="AFV53" s="69"/>
      <c r="AFW53" s="69"/>
      <c r="AFX53" s="69"/>
      <c r="AFY53" s="69"/>
      <c r="AFZ53" s="69"/>
      <c r="AGA53" s="69"/>
      <c r="AGB53" s="69"/>
      <c r="AGC53" s="69"/>
      <c r="AGD53" s="69"/>
      <c r="AGE53" s="69"/>
      <c r="AGF53" s="69"/>
      <c r="AGG53" s="69"/>
      <c r="AGH53" s="69"/>
      <c r="AGI53" s="69"/>
      <c r="AGJ53" s="69"/>
      <c r="AGK53" s="69"/>
      <c r="AGL53" s="69"/>
      <c r="AGM53" s="69"/>
      <c r="AGN53" s="69"/>
      <c r="AGO53" s="69"/>
      <c r="AGP53" s="69"/>
      <c r="AGQ53" s="69"/>
      <c r="AGR53" s="69"/>
      <c r="AGS53" s="69"/>
      <c r="AGT53" s="69"/>
      <c r="AGU53" s="69"/>
      <c r="AGV53" s="69"/>
      <c r="AGW53" s="69"/>
      <c r="AGX53" s="69"/>
      <c r="AGY53" s="69"/>
      <c r="AGZ53" s="69"/>
      <c r="AHA53" s="69"/>
      <c r="AHB53" s="69"/>
      <c r="AHC53" s="69"/>
      <c r="AHD53" s="69"/>
      <c r="AHE53" s="69"/>
      <c r="AHF53" s="69"/>
      <c r="AHG53" s="69"/>
      <c r="AHH53" s="69"/>
      <c r="AHI53" s="69"/>
      <c r="AHJ53" s="69"/>
      <c r="AHK53" s="69"/>
      <c r="AHL53" s="69"/>
      <c r="AHM53" s="69"/>
      <c r="AHN53" s="69"/>
      <c r="AHO53" s="69"/>
      <c r="AHP53" s="69"/>
      <c r="AHQ53" s="69"/>
      <c r="AHR53" s="69"/>
      <c r="AHS53" s="69"/>
      <c r="AHT53" s="69"/>
      <c r="AHU53" s="69"/>
      <c r="AHV53" s="69"/>
      <c r="AHW53" s="69"/>
      <c r="AHX53" s="69"/>
      <c r="AHY53" s="69"/>
      <c r="AHZ53" s="69"/>
      <c r="AIA53" s="69"/>
      <c r="AIB53" s="69"/>
      <c r="AIC53" s="69"/>
      <c r="AID53" s="69"/>
      <c r="AIE53" s="69"/>
      <c r="AIF53" s="69"/>
      <c r="AIG53" s="69"/>
      <c r="AIH53" s="69"/>
      <c r="AII53" s="69"/>
      <c r="AIJ53" s="69"/>
      <c r="AIK53" s="69"/>
      <c r="AIL53" s="69"/>
      <c r="AIM53" s="69"/>
      <c r="AIN53" s="69"/>
      <c r="AIO53" s="69"/>
      <c r="AIP53" s="69"/>
      <c r="AIQ53" s="69"/>
      <c r="AIR53" s="69"/>
      <c r="AIS53" s="69"/>
      <c r="AIT53" s="69"/>
      <c r="AIU53" s="69"/>
      <c r="AIV53" s="69"/>
      <c r="AIW53" s="69"/>
      <c r="AIX53" s="69"/>
      <c r="AIY53" s="69"/>
      <c r="AIZ53" s="69"/>
      <c r="AJA53" s="69"/>
      <c r="AJB53" s="69"/>
      <c r="AJC53" s="69"/>
      <c r="AJD53" s="69"/>
      <c r="AJE53" s="69"/>
      <c r="AJF53" s="69"/>
      <c r="AJG53" s="69"/>
      <c r="AJH53" s="69"/>
      <c r="AJI53" s="69"/>
      <c r="AJJ53" s="69"/>
      <c r="AJK53" s="69"/>
      <c r="AJL53" s="69"/>
      <c r="AJM53" s="69"/>
      <c r="AJN53" s="69"/>
      <c r="AJO53" s="69"/>
      <c r="AJP53" s="69"/>
      <c r="AJQ53" s="69"/>
      <c r="AJR53" s="69"/>
      <c r="AJS53" s="69"/>
      <c r="AJT53" s="69"/>
      <c r="AJU53" s="69"/>
      <c r="AJV53" s="69"/>
      <c r="AJW53" s="69"/>
      <c r="AJX53" s="69"/>
      <c r="AJY53" s="69"/>
      <c r="AJZ53" s="69"/>
      <c r="AKA53" s="69"/>
      <c r="AKB53" s="69"/>
      <c r="AKC53" s="69"/>
      <c r="AKD53" s="69"/>
      <c r="AKE53" s="69"/>
      <c r="AKF53" s="69"/>
      <c r="AKG53" s="69"/>
      <c r="AKH53" s="69"/>
      <c r="AKI53" s="69"/>
      <c r="AKJ53" s="69"/>
      <c r="AKK53" s="69"/>
      <c r="AKL53" s="69"/>
      <c r="AKM53" s="69"/>
      <c r="AKN53" s="69"/>
      <c r="AKO53" s="69"/>
      <c r="AKP53" s="69"/>
      <c r="AKQ53" s="69"/>
      <c r="AKR53" s="69"/>
      <c r="AKS53" s="69"/>
      <c r="AKT53" s="69"/>
      <c r="AKU53" s="69"/>
      <c r="AKV53" s="69"/>
      <c r="AKW53" s="69"/>
      <c r="AKX53" s="69"/>
      <c r="AKY53" s="69"/>
      <c r="AKZ53" s="69"/>
      <c r="ALA53" s="69"/>
      <c r="ALB53" s="69"/>
      <c r="ALC53" s="69"/>
      <c r="ALD53" s="69"/>
      <c r="ALE53" s="69"/>
      <c r="ALF53" s="69"/>
      <c r="ALG53" s="69"/>
      <c r="ALH53" s="69"/>
      <c r="ALI53" s="69"/>
      <c r="ALJ53" s="69"/>
      <c r="ALK53" s="69"/>
      <c r="ALL53" s="69"/>
      <c r="ALM53" s="69"/>
      <c r="ALN53" s="69"/>
      <c r="ALO53" s="69"/>
      <c r="ALP53" s="69"/>
      <c r="ALQ53" s="69"/>
      <c r="ALR53" s="69"/>
      <c r="ALS53" s="69"/>
      <c r="ALT53" s="69"/>
      <c r="ALU53" s="69"/>
      <c r="ALV53" s="69"/>
      <c r="ALW53" s="69"/>
      <c r="ALX53" s="69"/>
      <c r="ALY53" s="69"/>
      <c r="ALZ53" s="69"/>
      <c r="AMA53" s="69"/>
      <c r="AMB53" s="69"/>
      <c r="AMC53" s="69"/>
      <c r="AMD53" s="69"/>
      <c r="AME53" s="69"/>
      <c r="AMF53" s="69"/>
      <c r="AMG53" s="69"/>
      <c r="AMH53" s="69"/>
      <c r="AMI53" s="69"/>
      <c r="AMJ53" s="69"/>
    </row>
    <row r="54" s="70" customFormat="true" ht="129" hidden="false" customHeight="true" outlineLevel="0" collapsed="false">
      <c r="A54" s="71" t="s">
        <v>158</v>
      </c>
      <c r="B54" s="71" t="s">
        <v>159</v>
      </c>
      <c r="C54" s="72" t="s">
        <v>10</v>
      </c>
      <c r="D54" s="73" t="s">
        <v>160</v>
      </c>
      <c r="E54" s="74" t="s">
        <v>13</v>
      </c>
      <c r="F54" s="72" t="s">
        <v>13</v>
      </c>
      <c r="G54" s="75" t="n">
        <v>923.85</v>
      </c>
      <c r="H54" s="63"/>
      <c r="I54" s="63"/>
      <c r="J54" s="63"/>
      <c r="K54" s="64"/>
      <c r="L54" s="64" t="s">
        <v>130</v>
      </c>
      <c r="M54" s="41"/>
      <c r="N54" s="41"/>
      <c r="O54" s="41"/>
      <c r="P54" s="41"/>
      <c r="Q54" s="41"/>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c r="EO54" s="69"/>
      <c r="EP54" s="69"/>
      <c r="EQ54" s="69"/>
      <c r="ER54" s="69"/>
      <c r="ES54" s="69"/>
      <c r="ET54" s="69"/>
      <c r="EU54" s="69"/>
      <c r="EV54" s="69"/>
      <c r="EW54" s="69"/>
      <c r="EX54" s="69"/>
      <c r="EY54" s="69"/>
      <c r="EZ54" s="69"/>
      <c r="FA54" s="69"/>
      <c r="FB54" s="69"/>
      <c r="FC54" s="69"/>
      <c r="FD54" s="69"/>
      <c r="FE54" s="69"/>
      <c r="FF54" s="69"/>
      <c r="FG54" s="69"/>
      <c r="FH54" s="69"/>
      <c r="FI54" s="69"/>
      <c r="FJ54" s="69"/>
      <c r="FK54" s="69"/>
      <c r="FL54" s="69"/>
      <c r="FM54" s="69"/>
      <c r="FN54" s="69"/>
      <c r="FO54" s="69"/>
      <c r="FP54" s="69"/>
      <c r="FQ54" s="69"/>
      <c r="FR54" s="69"/>
      <c r="FS54" s="69"/>
      <c r="FT54" s="69"/>
      <c r="FU54" s="69"/>
      <c r="FV54" s="69"/>
      <c r="FW54" s="69"/>
      <c r="FX54" s="69"/>
      <c r="FY54" s="69"/>
      <c r="FZ54" s="69"/>
      <c r="GA54" s="69"/>
      <c r="GB54" s="69"/>
      <c r="GC54" s="69"/>
      <c r="GD54" s="69"/>
      <c r="GE54" s="69"/>
      <c r="GF54" s="69"/>
      <c r="GG54" s="69"/>
      <c r="GH54" s="69"/>
      <c r="GI54" s="69"/>
      <c r="GJ54" s="69"/>
      <c r="GK54" s="69"/>
      <c r="GL54" s="69"/>
      <c r="GM54" s="69"/>
      <c r="GN54" s="69"/>
      <c r="GO54" s="69"/>
      <c r="GP54" s="69"/>
      <c r="GQ54" s="69"/>
      <c r="GR54" s="69"/>
      <c r="GS54" s="69"/>
      <c r="GT54" s="69"/>
      <c r="GU54" s="69"/>
      <c r="GV54" s="69"/>
      <c r="GW54" s="69"/>
      <c r="GX54" s="69"/>
      <c r="GY54" s="69"/>
      <c r="GZ54" s="69"/>
      <c r="HA54" s="69"/>
      <c r="HB54" s="69"/>
      <c r="HC54" s="69"/>
      <c r="HD54" s="69"/>
      <c r="HE54" s="69"/>
      <c r="HF54" s="69"/>
      <c r="HG54" s="69"/>
      <c r="HH54" s="69"/>
      <c r="HI54" s="69"/>
      <c r="HJ54" s="69"/>
      <c r="HK54" s="69"/>
      <c r="HL54" s="69"/>
      <c r="HM54" s="69"/>
      <c r="HN54" s="69"/>
      <c r="HO54" s="69"/>
      <c r="HP54" s="69"/>
      <c r="HQ54" s="69"/>
      <c r="HR54" s="69"/>
      <c r="HS54" s="69"/>
      <c r="HT54" s="69"/>
      <c r="HU54" s="69"/>
      <c r="HV54" s="69"/>
      <c r="HW54" s="69"/>
      <c r="HX54" s="69"/>
      <c r="HY54" s="69"/>
      <c r="HZ54" s="69"/>
      <c r="IA54" s="69"/>
      <c r="IB54" s="69"/>
      <c r="IC54" s="69"/>
      <c r="ID54" s="69"/>
      <c r="IE54" s="69"/>
      <c r="IF54" s="69"/>
      <c r="IG54" s="69"/>
      <c r="IH54" s="69"/>
      <c r="II54" s="69"/>
      <c r="IJ54" s="69"/>
      <c r="IK54" s="69"/>
      <c r="IL54" s="69"/>
      <c r="IM54" s="69"/>
      <c r="IN54" s="69"/>
      <c r="IO54" s="69"/>
      <c r="IP54" s="69"/>
      <c r="IQ54" s="69"/>
      <c r="IR54" s="69"/>
      <c r="IS54" s="69"/>
      <c r="IT54" s="69"/>
      <c r="IU54" s="69"/>
      <c r="IV54" s="69"/>
      <c r="IW54" s="69"/>
      <c r="IX54" s="69"/>
      <c r="IY54" s="69"/>
      <c r="IZ54" s="69"/>
      <c r="JA54" s="69"/>
      <c r="JB54" s="69"/>
      <c r="JC54" s="69"/>
      <c r="JD54" s="69"/>
      <c r="JE54" s="69"/>
      <c r="JF54" s="69"/>
      <c r="JG54" s="69"/>
      <c r="JH54" s="69"/>
      <c r="JI54" s="69"/>
      <c r="JJ54" s="69"/>
      <c r="JK54" s="69"/>
      <c r="JL54" s="69"/>
      <c r="JM54" s="69"/>
      <c r="JN54" s="69"/>
      <c r="JO54" s="69"/>
      <c r="JP54" s="69"/>
      <c r="JQ54" s="69"/>
      <c r="JR54" s="69"/>
      <c r="JS54" s="69"/>
      <c r="JT54" s="69"/>
      <c r="JU54" s="69"/>
      <c r="JV54" s="69"/>
      <c r="JW54" s="69"/>
      <c r="JX54" s="69"/>
      <c r="JY54" s="69"/>
      <c r="JZ54" s="69"/>
      <c r="KA54" s="69"/>
      <c r="KB54" s="69"/>
      <c r="KC54" s="69"/>
      <c r="KD54" s="69"/>
      <c r="KE54" s="69"/>
      <c r="KF54" s="69"/>
      <c r="KG54" s="69"/>
      <c r="KH54" s="69"/>
      <c r="KI54" s="69"/>
      <c r="KJ54" s="69"/>
      <c r="KK54" s="69"/>
      <c r="KL54" s="69"/>
      <c r="KM54" s="69"/>
      <c r="KN54" s="69"/>
      <c r="KO54" s="69"/>
      <c r="KP54" s="69"/>
      <c r="KQ54" s="69"/>
      <c r="KR54" s="69"/>
      <c r="KS54" s="69"/>
      <c r="KT54" s="69"/>
      <c r="KU54" s="69"/>
      <c r="KV54" s="69"/>
      <c r="KW54" s="69"/>
      <c r="KX54" s="69"/>
      <c r="KY54" s="69"/>
      <c r="KZ54" s="69"/>
      <c r="LA54" s="69"/>
      <c r="LB54" s="69"/>
      <c r="LC54" s="69"/>
      <c r="LD54" s="69"/>
      <c r="LE54" s="69"/>
      <c r="LF54" s="69"/>
      <c r="LG54" s="69"/>
      <c r="LH54" s="69"/>
      <c r="LI54" s="69"/>
      <c r="LJ54" s="69"/>
      <c r="LK54" s="69"/>
      <c r="LL54" s="69"/>
      <c r="LM54" s="69"/>
      <c r="LN54" s="69"/>
      <c r="LO54" s="69"/>
      <c r="LP54" s="69"/>
      <c r="LQ54" s="69"/>
      <c r="LR54" s="69"/>
      <c r="LS54" s="69"/>
      <c r="LT54" s="69"/>
      <c r="LU54" s="69"/>
      <c r="LV54" s="69"/>
      <c r="LW54" s="69"/>
      <c r="LX54" s="69"/>
      <c r="LY54" s="69"/>
      <c r="LZ54" s="69"/>
      <c r="MA54" s="69"/>
      <c r="MB54" s="69"/>
      <c r="MC54" s="69"/>
      <c r="MD54" s="69"/>
      <c r="ME54" s="69"/>
      <c r="MF54" s="69"/>
      <c r="MG54" s="69"/>
      <c r="MH54" s="69"/>
      <c r="MI54" s="69"/>
      <c r="MJ54" s="69"/>
      <c r="MK54" s="69"/>
      <c r="ML54" s="69"/>
      <c r="MM54" s="69"/>
      <c r="MN54" s="69"/>
      <c r="MO54" s="69"/>
      <c r="MP54" s="69"/>
      <c r="MQ54" s="69"/>
      <c r="MR54" s="69"/>
      <c r="MS54" s="69"/>
      <c r="MT54" s="69"/>
      <c r="MU54" s="69"/>
      <c r="MV54" s="69"/>
      <c r="MW54" s="69"/>
      <c r="MX54" s="69"/>
      <c r="MY54" s="69"/>
      <c r="MZ54" s="69"/>
      <c r="NA54" s="69"/>
      <c r="NB54" s="69"/>
      <c r="NC54" s="69"/>
      <c r="ND54" s="69"/>
      <c r="NE54" s="69"/>
      <c r="NF54" s="69"/>
      <c r="NG54" s="69"/>
      <c r="NH54" s="69"/>
      <c r="NI54" s="69"/>
      <c r="NJ54" s="69"/>
      <c r="NK54" s="69"/>
      <c r="NL54" s="69"/>
      <c r="NM54" s="69"/>
      <c r="NN54" s="69"/>
      <c r="NO54" s="69"/>
      <c r="NP54" s="69"/>
      <c r="NQ54" s="69"/>
      <c r="NR54" s="69"/>
      <c r="NS54" s="69"/>
      <c r="NT54" s="69"/>
      <c r="NU54" s="69"/>
      <c r="NV54" s="69"/>
      <c r="NW54" s="69"/>
      <c r="NX54" s="69"/>
      <c r="NY54" s="69"/>
      <c r="NZ54" s="69"/>
      <c r="OA54" s="69"/>
      <c r="OB54" s="69"/>
      <c r="OC54" s="69"/>
      <c r="OD54" s="69"/>
      <c r="OE54" s="69"/>
      <c r="OF54" s="69"/>
      <c r="OG54" s="69"/>
      <c r="OH54" s="69"/>
      <c r="OI54" s="69"/>
      <c r="OJ54" s="69"/>
      <c r="OK54" s="69"/>
      <c r="OL54" s="69"/>
      <c r="OM54" s="69"/>
      <c r="ON54" s="69"/>
      <c r="OO54" s="69"/>
      <c r="OP54" s="69"/>
      <c r="OQ54" s="69"/>
      <c r="OR54" s="69"/>
      <c r="OS54" s="69"/>
      <c r="OT54" s="69"/>
      <c r="OU54" s="69"/>
      <c r="OV54" s="69"/>
      <c r="OW54" s="69"/>
      <c r="OX54" s="69"/>
      <c r="OY54" s="69"/>
      <c r="OZ54" s="69"/>
      <c r="PA54" s="69"/>
      <c r="PB54" s="69"/>
      <c r="PC54" s="69"/>
      <c r="PD54" s="69"/>
      <c r="PE54" s="69"/>
      <c r="PF54" s="69"/>
      <c r="PG54" s="69"/>
      <c r="PH54" s="69"/>
      <c r="PI54" s="69"/>
      <c r="PJ54" s="69"/>
      <c r="PK54" s="69"/>
      <c r="PL54" s="69"/>
      <c r="PM54" s="69"/>
      <c r="PN54" s="69"/>
      <c r="PO54" s="69"/>
      <c r="PP54" s="69"/>
      <c r="PQ54" s="69"/>
      <c r="PR54" s="69"/>
      <c r="PS54" s="69"/>
      <c r="PT54" s="69"/>
      <c r="PU54" s="69"/>
      <c r="PV54" s="69"/>
      <c r="PW54" s="69"/>
      <c r="PX54" s="69"/>
      <c r="PY54" s="69"/>
      <c r="PZ54" s="69"/>
      <c r="QA54" s="69"/>
      <c r="QB54" s="69"/>
      <c r="QC54" s="69"/>
      <c r="QD54" s="69"/>
      <c r="QE54" s="69"/>
      <c r="QF54" s="69"/>
      <c r="QG54" s="69"/>
      <c r="QH54" s="69"/>
      <c r="QI54" s="69"/>
      <c r="QJ54" s="69"/>
      <c r="QK54" s="69"/>
      <c r="QL54" s="69"/>
      <c r="QM54" s="69"/>
      <c r="QN54" s="69"/>
      <c r="QO54" s="69"/>
      <c r="QP54" s="69"/>
      <c r="QQ54" s="69"/>
      <c r="QR54" s="69"/>
      <c r="QS54" s="69"/>
      <c r="QT54" s="69"/>
      <c r="QU54" s="69"/>
      <c r="QV54" s="69"/>
      <c r="QW54" s="69"/>
      <c r="QX54" s="69"/>
      <c r="QY54" s="69"/>
      <c r="QZ54" s="69"/>
      <c r="RA54" s="69"/>
      <c r="RB54" s="69"/>
      <c r="RC54" s="69"/>
      <c r="RD54" s="69"/>
      <c r="RE54" s="69"/>
      <c r="RF54" s="69"/>
      <c r="RG54" s="69"/>
      <c r="RH54" s="69"/>
      <c r="RI54" s="69"/>
      <c r="RJ54" s="69"/>
      <c r="RK54" s="69"/>
      <c r="RL54" s="69"/>
      <c r="RM54" s="69"/>
      <c r="RN54" s="69"/>
      <c r="RO54" s="69"/>
      <c r="RP54" s="69"/>
      <c r="RQ54" s="69"/>
      <c r="RR54" s="69"/>
      <c r="RS54" s="69"/>
      <c r="RT54" s="69"/>
      <c r="RU54" s="69"/>
      <c r="RV54" s="69"/>
      <c r="RW54" s="69"/>
      <c r="RX54" s="69"/>
      <c r="RY54" s="69"/>
      <c r="RZ54" s="69"/>
      <c r="SA54" s="69"/>
      <c r="SB54" s="69"/>
      <c r="SC54" s="69"/>
      <c r="SD54" s="69"/>
      <c r="SE54" s="69"/>
      <c r="SF54" s="69"/>
      <c r="SG54" s="69"/>
      <c r="SH54" s="69"/>
      <c r="SI54" s="69"/>
      <c r="SJ54" s="69"/>
      <c r="SK54" s="69"/>
      <c r="SL54" s="69"/>
      <c r="SM54" s="69"/>
      <c r="SN54" s="69"/>
      <c r="SO54" s="69"/>
      <c r="SP54" s="69"/>
      <c r="SQ54" s="69"/>
      <c r="SR54" s="69"/>
      <c r="SS54" s="69"/>
      <c r="ST54" s="69"/>
      <c r="SU54" s="69"/>
      <c r="SV54" s="69"/>
      <c r="SW54" s="69"/>
      <c r="SX54" s="69"/>
      <c r="SY54" s="69"/>
      <c r="SZ54" s="69"/>
      <c r="TA54" s="69"/>
      <c r="TB54" s="69"/>
      <c r="TC54" s="69"/>
      <c r="TD54" s="69"/>
      <c r="TE54" s="69"/>
      <c r="TF54" s="69"/>
      <c r="TG54" s="69"/>
      <c r="TH54" s="69"/>
      <c r="TI54" s="69"/>
      <c r="TJ54" s="69"/>
      <c r="TK54" s="69"/>
      <c r="TL54" s="69"/>
      <c r="TM54" s="69"/>
      <c r="TN54" s="69"/>
      <c r="TO54" s="69"/>
      <c r="TP54" s="69"/>
      <c r="TQ54" s="69"/>
      <c r="TR54" s="69"/>
      <c r="TS54" s="69"/>
      <c r="TT54" s="69"/>
      <c r="TU54" s="69"/>
      <c r="TV54" s="69"/>
      <c r="TW54" s="69"/>
      <c r="TX54" s="69"/>
      <c r="TY54" s="69"/>
      <c r="TZ54" s="69"/>
      <c r="UA54" s="69"/>
      <c r="UB54" s="69"/>
      <c r="UC54" s="69"/>
      <c r="UD54" s="69"/>
      <c r="UE54" s="69"/>
      <c r="UF54" s="69"/>
      <c r="UG54" s="69"/>
      <c r="UH54" s="69"/>
      <c r="UI54" s="69"/>
      <c r="UJ54" s="69"/>
      <c r="UK54" s="69"/>
      <c r="UL54" s="69"/>
      <c r="UM54" s="69"/>
      <c r="UN54" s="69"/>
      <c r="UO54" s="69"/>
      <c r="UP54" s="69"/>
      <c r="UQ54" s="69"/>
      <c r="UR54" s="69"/>
      <c r="US54" s="69"/>
      <c r="UT54" s="69"/>
      <c r="UU54" s="69"/>
      <c r="UV54" s="69"/>
      <c r="UW54" s="69"/>
      <c r="UX54" s="69"/>
      <c r="UY54" s="69"/>
      <c r="UZ54" s="69"/>
      <c r="VA54" s="69"/>
      <c r="VB54" s="69"/>
      <c r="VC54" s="69"/>
      <c r="VD54" s="69"/>
      <c r="VE54" s="69"/>
      <c r="VF54" s="69"/>
      <c r="VG54" s="69"/>
      <c r="VH54" s="69"/>
      <c r="VI54" s="69"/>
      <c r="VJ54" s="69"/>
      <c r="VK54" s="69"/>
      <c r="VL54" s="69"/>
      <c r="VM54" s="69"/>
      <c r="VN54" s="69"/>
      <c r="VO54" s="69"/>
      <c r="VP54" s="69"/>
      <c r="VQ54" s="69"/>
      <c r="VR54" s="69"/>
      <c r="VS54" s="69"/>
      <c r="VT54" s="69"/>
      <c r="VU54" s="69"/>
      <c r="VV54" s="69"/>
      <c r="VW54" s="69"/>
      <c r="VX54" s="69"/>
      <c r="VY54" s="69"/>
      <c r="VZ54" s="69"/>
      <c r="WA54" s="69"/>
      <c r="WB54" s="69"/>
      <c r="WC54" s="69"/>
      <c r="WD54" s="69"/>
      <c r="WE54" s="69"/>
      <c r="WF54" s="69"/>
      <c r="WG54" s="69"/>
      <c r="WH54" s="69"/>
      <c r="WI54" s="69"/>
      <c r="WJ54" s="69"/>
      <c r="WK54" s="69"/>
      <c r="WL54" s="69"/>
      <c r="WM54" s="69"/>
      <c r="WN54" s="69"/>
      <c r="WO54" s="69"/>
      <c r="WP54" s="69"/>
      <c r="WQ54" s="69"/>
      <c r="WR54" s="69"/>
      <c r="WS54" s="69"/>
      <c r="WT54" s="69"/>
      <c r="WU54" s="69"/>
      <c r="WV54" s="69"/>
      <c r="WW54" s="69"/>
      <c r="WX54" s="69"/>
      <c r="WY54" s="69"/>
      <c r="WZ54" s="69"/>
      <c r="XA54" s="69"/>
      <c r="XB54" s="69"/>
      <c r="XC54" s="69"/>
      <c r="XD54" s="69"/>
      <c r="XE54" s="69"/>
      <c r="XF54" s="69"/>
      <c r="XG54" s="69"/>
      <c r="XH54" s="69"/>
      <c r="XI54" s="69"/>
      <c r="XJ54" s="69"/>
      <c r="XK54" s="69"/>
      <c r="XL54" s="69"/>
      <c r="XM54" s="69"/>
      <c r="XN54" s="69"/>
      <c r="XO54" s="69"/>
      <c r="XP54" s="69"/>
      <c r="XQ54" s="69"/>
      <c r="XR54" s="69"/>
      <c r="XS54" s="69"/>
      <c r="XT54" s="69"/>
      <c r="XU54" s="69"/>
      <c r="XV54" s="69"/>
      <c r="XW54" s="69"/>
      <c r="XX54" s="69"/>
      <c r="XY54" s="69"/>
      <c r="XZ54" s="69"/>
      <c r="YA54" s="69"/>
      <c r="YB54" s="69"/>
      <c r="YC54" s="69"/>
      <c r="YD54" s="69"/>
      <c r="YE54" s="69"/>
      <c r="YF54" s="69"/>
      <c r="YG54" s="69"/>
      <c r="YH54" s="69"/>
      <c r="YI54" s="69"/>
      <c r="YJ54" s="69"/>
      <c r="YK54" s="69"/>
      <c r="YL54" s="69"/>
      <c r="YM54" s="69"/>
      <c r="YN54" s="69"/>
      <c r="YO54" s="69"/>
      <c r="YP54" s="69"/>
      <c r="YQ54" s="69"/>
      <c r="YR54" s="69"/>
      <c r="YS54" s="69"/>
      <c r="YT54" s="69"/>
      <c r="YU54" s="69"/>
      <c r="YV54" s="69"/>
      <c r="YW54" s="69"/>
      <c r="YX54" s="69"/>
      <c r="YY54" s="69"/>
      <c r="YZ54" s="69"/>
      <c r="ZA54" s="69"/>
      <c r="ZB54" s="69"/>
      <c r="ZC54" s="69"/>
      <c r="ZD54" s="69"/>
      <c r="ZE54" s="69"/>
      <c r="ZF54" s="69"/>
      <c r="ZG54" s="69"/>
      <c r="ZH54" s="69"/>
      <c r="ZI54" s="69"/>
      <c r="ZJ54" s="69"/>
      <c r="ZK54" s="69"/>
      <c r="ZL54" s="69"/>
      <c r="ZM54" s="69"/>
      <c r="ZN54" s="69"/>
      <c r="ZO54" s="69"/>
      <c r="ZP54" s="69"/>
      <c r="ZQ54" s="69"/>
      <c r="ZR54" s="69"/>
      <c r="ZS54" s="69"/>
      <c r="ZT54" s="69"/>
      <c r="ZU54" s="69"/>
      <c r="ZV54" s="69"/>
      <c r="ZW54" s="69"/>
      <c r="ZX54" s="69"/>
      <c r="ZY54" s="69"/>
      <c r="ZZ54" s="69"/>
      <c r="AAA54" s="69"/>
      <c r="AAB54" s="69"/>
      <c r="AAC54" s="69"/>
      <c r="AAD54" s="69"/>
      <c r="AAE54" s="69"/>
      <c r="AAF54" s="69"/>
      <c r="AAG54" s="69"/>
      <c r="AAH54" s="69"/>
      <c r="AAI54" s="69"/>
      <c r="AAJ54" s="69"/>
      <c r="AAK54" s="69"/>
      <c r="AAL54" s="69"/>
      <c r="AAM54" s="69"/>
      <c r="AAN54" s="69"/>
      <c r="AAO54" s="69"/>
      <c r="AAP54" s="69"/>
      <c r="AAQ54" s="69"/>
      <c r="AAR54" s="69"/>
      <c r="AAS54" s="69"/>
      <c r="AAT54" s="69"/>
      <c r="AAU54" s="69"/>
      <c r="AAV54" s="69"/>
      <c r="AAW54" s="69"/>
      <c r="AAX54" s="69"/>
      <c r="AAY54" s="69"/>
      <c r="AAZ54" s="69"/>
      <c r="ABA54" s="69"/>
      <c r="ABB54" s="69"/>
      <c r="ABC54" s="69"/>
      <c r="ABD54" s="69"/>
      <c r="ABE54" s="69"/>
      <c r="ABF54" s="69"/>
      <c r="ABG54" s="69"/>
      <c r="ABH54" s="69"/>
      <c r="ABI54" s="69"/>
      <c r="ABJ54" s="69"/>
      <c r="ABK54" s="69"/>
      <c r="ABL54" s="69"/>
      <c r="ABM54" s="69"/>
      <c r="ABN54" s="69"/>
      <c r="ABO54" s="69"/>
      <c r="ABP54" s="69"/>
      <c r="ABQ54" s="69"/>
      <c r="ABR54" s="69"/>
      <c r="ABS54" s="69"/>
      <c r="ABT54" s="69"/>
      <c r="ABU54" s="69"/>
      <c r="ABV54" s="69"/>
      <c r="ABW54" s="69"/>
      <c r="ABX54" s="69"/>
      <c r="ABY54" s="69"/>
      <c r="ABZ54" s="69"/>
      <c r="ACA54" s="69"/>
      <c r="ACB54" s="69"/>
      <c r="ACC54" s="69"/>
      <c r="ACD54" s="69"/>
      <c r="ACE54" s="69"/>
      <c r="ACF54" s="69"/>
      <c r="ACG54" s="69"/>
      <c r="ACH54" s="69"/>
      <c r="ACI54" s="69"/>
      <c r="ACJ54" s="69"/>
      <c r="ACK54" s="69"/>
      <c r="ACL54" s="69"/>
      <c r="ACM54" s="69"/>
      <c r="ACN54" s="69"/>
      <c r="ACO54" s="69"/>
      <c r="ACP54" s="69"/>
      <c r="ACQ54" s="69"/>
      <c r="ACR54" s="69"/>
      <c r="ACS54" s="69"/>
      <c r="ACT54" s="69"/>
      <c r="ACU54" s="69"/>
      <c r="ACV54" s="69"/>
      <c r="ACW54" s="69"/>
      <c r="ACX54" s="69"/>
      <c r="ACY54" s="69"/>
      <c r="ACZ54" s="69"/>
      <c r="ADA54" s="69"/>
      <c r="ADB54" s="69"/>
      <c r="ADC54" s="69"/>
      <c r="ADD54" s="69"/>
      <c r="ADE54" s="69"/>
      <c r="ADF54" s="69"/>
      <c r="ADG54" s="69"/>
      <c r="ADH54" s="69"/>
      <c r="ADI54" s="69"/>
      <c r="ADJ54" s="69"/>
      <c r="ADK54" s="69"/>
      <c r="ADL54" s="69"/>
      <c r="ADM54" s="69"/>
      <c r="ADN54" s="69"/>
      <c r="ADO54" s="69"/>
      <c r="ADP54" s="69"/>
      <c r="ADQ54" s="69"/>
      <c r="ADR54" s="69"/>
      <c r="ADS54" s="69"/>
      <c r="ADT54" s="69"/>
      <c r="ADU54" s="69"/>
      <c r="ADV54" s="69"/>
      <c r="ADW54" s="69"/>
      <c r="ADX54" s="69"/>
      <c r="ADY54" s="69"/>
      <c r="ADZ54" s="69"/>
      <c r="AEA54" s="69"/>
      <c r="AEB54" s="69"/>
      <c r="AEC54" s="69"/>
      <c r="AED54" s="69"/>
      <c r="AEE54" s="69"/>
      <c r="AEF54" s="69"/>
      <c r="AEG54" s="69"/>
      <c r="AEH54" s="69"/>
      <c r="AEI54" s="69"/>
      <c r="AEJ54" s="69"/>
      <c r="AEK54" s="69"/>
      <c r="AEL54" s="69"/>
      <c r="AEM54" s="69"/>
      <c r="AEN54" s="69"/>
      <c r="AEO54" s="69"/>
      <c r="AEP54" s="69"/>
      <c r="AEQ54" s="69"/>
      <c r="AER54" s="69"/>
      <c r="AES54" s="69"/>
      <c r="AET54" s="69"/>
      <c r="AEU54" s="69"/>
      <c r="AEV54" s="69"/>
      <c r="AEW54" s="69"/>
      <c r="AEX54" s="69"/>
      <c r="AEY54" s="69"/>
      <c r="AEZ54" s="69"/>
      <c r="AFA54" s="69"/>
      <c r="AFB54" s="69"/>
      <c r="AFC54" s="69"/>
      <c r="AFD54" s="69"/>
      <c r="AFE54" s="69"/>
      <c r="AFF54" s="69"/>
      <c r="AFG54" s="69"/>
      <c r="AFH54" s="69"/>
      <c r="AFI54" s="69"/>
      <c r="AFJ54" s="69"/>
      <c r="AFK54" s="69"/>
      <c r="AFL54" s="69"/>
      <c r="AFM54" s="69"/>
      <c r="AFN54" s="69"/>
      <c r="AFO54" s="69"/>
      <c r="AFP54" s="69"/>
      <c r="AFQ54" s="69"/>
      <c r="AFR54" s="69"/>
      <c r="AFS54" s="69"/>
      <c r="AFT54" s="69"/>
      <c r="AFU54" s="69"/>
      <c r="AFV54" s="69"/>
      <c r="AFW54" s="69"/>
      <c r="AFX54" s="69"/>
      <c r="AFY54" s="69"/>
      <c r="AFZ54" s="69"/>
      <c r="AGA54" s="69"/>
      <c r="AGB54" s="69"/>
      <c r="AGC54" s="69"/>
      <c r="AGD54" s="69"/>
      <c r="AGE54" s="69"/>
      <c r="AGF54" s="69"/>
      <c r="AGG54" s="69"/>
      <c r="AGH54" s="69"/>
      <c r="AGI54" s="69"/>
      <c r="AGJ54" s="69"/>
      <c r="AGK54" s="69"/>
      <c r="AGL54" s="69"/>
      <c r="AGM54" s="69"/>
      <c r="AGN54" s="69"/>
      <c r="AGO54" s="69"/>
      <c r="AGP54" s="69"/>
      <c r="AGQ54" s="69"/>
      <c r="AGR54" s="69"/>
      <c r="AGS54" s="69"/>
      <c r="AGT54" s="69"/>
      <c r="AGU54" s="69"/>
      <c r="AGV54" s="69"/>
      <c r="AGW54" s="69"/>
      <c r="AGX54" s="69"/>
      <c r="AGY54" s="69"/>
      <c r="AGZ54" s="69"/>
      <c r="AHA54" s="69"/>
      <c r="AHB54" s="69"/>
      <c r="AHC54" s="69"/>
      <c r="AHD54" s="69"/>
      <c r="AHE54" s="69"/>
      <c r="AHF54" s="69"/>
      <c r="AHG54" s="69"/>
      <c r="AHH54" s="69"/>
      <c r="AHI54" s="69"/>
      <c r="AHJ54" s="69"/>
      <c r="AHK54" s="69"/>
      <c r="AHL54" s="69"/>
      <c r="AHM54" s="69"/>
      <c r="AHN54" s="69"/>
      <c r="AHO54" s="69"/>
      <c r="AHP54" s="69"/>
      <c r="AHQ54" s="69"/>
      <c r="AHR54" s="69"/>
      <c r="AHS54" s="69"/>
      <c r="AHT54" s="69"/>
      <c r="AHU54" s="69"/>
      <c r="AHV54" s="69"/>
      <c r="AHW54" s="69"/>
      <c r="AHX54" s="69"/>
      <c r="AHY54" s="69"/>
      <c r="AHZ54" s="69"/>
      <c r="AIA54" s="69"/>
      <c r="AIB54" s="69"/>
      <c r="AIC54" s="69"/>
      <c r="AID54" s="69"/>
      <c r="AIE54" s="69"/>
      <c r="AIF54" s="69"/>
      <c r="AIG54" s="69"/>
      <c r="AIH54" s="69"/>
      <c r="AII54" s="69"/>
      <c r="AIJ54" s="69"/>
      <c r="AIK54" s="69"/>
      <c r="AIL54" s="69"/>
      <c r="AIM54" s="69"/>
      <c r="AIN54" s="69"/>
      <c r="AIO54" s="69"/>
      <c r="AIP54" s="69"/>
      <c r="AIQ54" s="69"/>
      <c r="AIR54" s="69"/>
      <c r="AIS54" s="69"/>
      <c r="AIT54" s="69"/>
      <c r="AIU54" s="69"/>
      <c r="AIV54" s="69"/>
      <c r="AIW54" s="69"/>
      <c r="AIX54" s="69"/>
      <c r="AIY54" s="69"/>
      <c r="AIZ54" s="69"/>
      <c r="AJA54" s="69"/>
      <c r="AJB54" s="69"/>
      <c r="AJC54" s="69"/>
      <c r="AJD54" s="69"/>
      <c r="AJE54" s="69"/>
      <c r="AJF54" s="69"/>
      <c r="AJG54" s="69"/>
      <c r="AJH54" s="69"/>
      <c r="AJI54" s="69"/>
      <c r="AJJ54" s="69"/>
      <c r="AJK54" s="69"/>
      <c r="AJL54" s="69"/>
      <c r="AJM54" s="69"/>
      <c r="AJN54" s="69"/>
      <c r="AJO54" s="69"/>
      <c r="AJP54" s="69"/>
      <c r="AJQ54" s="69"/>
      <c r="AJR54" s="69"/>
      <c r="AJS54" s="69"/>
      <c r="AJT54" s="69"/>
      <c r="AJU54" s="69"/>
      <c r="AJV54" s="69"/>
      <c r="AJW54" s="69"/>
      <c r="AJX54" s="69"/>
      <c r="AJY54" s="69"/>
      <c r="AJZ54" s="69"/>
      <c r="AKA54" s="69"/>
      <c r="AKB54" s="69"/>
      <c r="AKC54" s="69"/>
      <c r="AKD54" s="69"/>
      <c r="AKE54" s="69"/>
      <c r="AKF54" s="69"/>
      <c r="AKG54" s="69"/>
      <c r="AKH54" s="69"/>
      <c r="AKI54" s="69"/>
      <c r="AKJ54" s="69"/>
      <c r="AKK54" s="69"/>
      <c r="AKL54" s="69"/>
      <c r="AKM54" s="69"/>
      <c r="AKN54" s="69"/>
      <c r="AKO54" s="69"/>
      <c r="AKP54" s="69"/>
      <c r="AKQ54" s="69"/>
      <c r="AKR54" s="69"/>
      <c r="AKS54" s="69"/>
      <c r="AKT54" s="69"/>
      <c r="AKU54" s="69"/>
      <c r="AKV54" s="69"/>
      <c r="AKW54" s="69"/>
      <c r="AKX54" s="69"/>
      <c r="AKY54" s="69"/>
      <c r="AKZ54" s="69"/>
      <c r="ALA54" s="69"/>
      <c r="ALB54" s="69"/>
      <c r="ALC54" s="69"/>
      <c r="ALD54" s="69"/>
      <c r="ALE54" s="69"/>
      <c r="ALF54" s="69"/>
      <c r="ALG54" s="69"/>
      <c r="ALH54" s="69"/>
      <c r="ALI54" s="69"/>
      <c r="ALJ54" s="69"/>
      <c r="ALK54" s="69"/>
      <c r="ALL54" s="69"/>
      <c r="ALM54" s="69"/>
      <c r="ALN54" s="69"/>
      <c r="ALO54" s="69"/>
      <c r="ALP54" s="69"/>
      <c r="ALQ54" s="69"/>
      <c r="ALR54" s="69"/>
      <c r="ALS54" s="69"/>
      <c r="ALT54" s="69"/>
      <c r="ALU54" s="69"/>
      <c r="ALV54" s="69"/>
      <c r="ALW54" s="69"/>
      <c r="ALX54" s="69"/>
      <c r="ALY54" s="69"/>
      <c r="ALZ54" s="69"/>
      <c r="AMA54" s="69"/>
      <c r="AMB54" s="69"/>
      <c r="AMC54" s="69"/>
      <c r="AMD54" s="69"/>
      <c r="AME54" s="69"/>
      <c r="AMF54" s="69"/>
      <c r="AMG54" s="69"/>
      <c r="AMH54" s="69"/>
      <c r="AMI54" s="69"/>
      <c r="AMJ54" s="69"/>
    </row>
    <row r="55" s="70" customFormat="true" ht="58.2" hidden="false" customHeight="false" outlineLevel="0" collapsed="false">
      <c r="A55" s="71" t="s">
        <v>161</v>
      </c>
      <c r="B55" s="71" t="s">
        <v>162</v>
      </c>
      <c r="C55" s="72" t="s">
        <v>10</v>
      </c>
      <c r="D55" s="73" t="s">
        <v>163</v>
      </c>
      <c r="E55" s="74" t="s">
        <v>13</v>
      </c>
      <c r="F55" s="72" t="s">
        <v>13</v>
      </c>
      <c r="G55" s="75" t="n">
        <v>367.62</v>
      </c>
      <c r="H55" s="63"/>
      <c r="I55" s="63"/>
      <c r="J55" s="63"/>
      <c r="K55" s="64"/>
      <c r="L55" s="64"/>
      <c r="M55" s="41"/>
      <c r="N55" s="41"/>
      <c r="O55" s="41"/>
      <c r="P55" s="41"/>
      <c r="Q55" s="41"/>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c r="EO55" s="69"/>
      <c r="EP55" s="69"/>
      <c r="EQ55" s="69"/>
      <c r="ER55" s="69"/>
      <c r="ES55" s="69"/>
      <c r="ET55" s="69"/>
      <c r="EU55" s="69"/>
      <c r="EV55" s="69"/>
      <c r="EW55" s="69"/>
      <c r="EX55" s="69"/>
      <c r="EY55" s="69"/>
      <c r="EZ55" s="69"/>
      <c r="FA55" s="69"/>
      <c r="FB55" s="69"/>
      <c r="FC55" s="69"/>
      <c r="FD55" s="69"/>
      <c r="FE55" s="69"/>
      <c r="FF55" s="69"/>
      <c r="FG55" s="69"/>
      <c r="FH55" s="69"/>
      <c r="FI55" s="69"/>
      <c r="FJ55" s="69"/>
      <c r="FK55" s="69"/>
      <c r="FL55" s="69"/>
      <c r="FM55" s="69"/>
      <c r="FN55" s="69"/>
      <c r="FO55" s="69"/>
      <c r="FP55" s="69"/>
      <c r="FQ55" s="69"/>
      <c r="FR55" s="69"/>
      <c r="FS55" s="69"/>
      <c r="FT55" s="69"/>
      <c r="FU55" s="69"/>
      <c r="FV55" s="69"/>
      <c r="FW55" s="69"/>
      <c r="FX55" s="69"/>
      <c r="FY55" s="69"/>
      <c r="FZ55" s="69"/>
      <c r="GA55" s="69"/>
      <c r="GB55" s="69"/>
      <c r="GC55" s="69"/>
      <c r="GD55" s="69"/>
      <c r="GE55" s="69"/>
      <c r="GF55" s="69"/>
      <c r="GG55" s="69"/>
      <c r="GH55" s="69"/>
      <c r="GI55" s="69"/>
      <c r="GJ55" s="69"/>
      <c r="GK55" s="69"/>
      <c r="GL55" s="69"/>
      <c r="GM55" s="69"/>
      <c r="GN55" s="69"/>
      <c r="GO55" s="69"/>
      <c r="GP55" s="69"/>
      <c r="GQ55" s="69"/>
      <c r="GR55" s="69"/>
      <c r="GS55" s="69"/>
      <c r="GT55" s="69"/>
      <c r="GU55" s="69"/>
      <c r="GV55" s="69"/>
      <c r="GW55" s="69"/>
      <c r="GX55" s="69"/>
      <c r="GY55" s="69"/>
      <c r="GZ55" s="69"/>
      <c r="HA55" s="69"/>
      <c r="HB55" s="69"/>
      <c r="HC55" s="69"/>
      <c r="HD55" s="69"/>
      <c r="HE55" s="69"/>
      <c r="HF55" s="69"/>
      <c r="HG55" s="69"/>
      <c r="HH55" s="69"/>
      <c r="HI55" s="69"/>
      <c r="HJ55" s="69"/>
      <c r="HK55" s="69"/>
      <c r="HL55" s="69"/>
      <c r="HM55" s="69"/>
      <c r="HN55" s="69"/>
      <c r="HO55" s="69"/>
      <c r="HP55" s="69"/>
      <c r="HQ55" s="69"/>
      <c r="HR55" s="69"/>
      <c r="HS55" s="69"/>
      <c r="HT55" s="69"/>
      <c r="HU55" s="69"/>
      <c r="HV55" s="69"/>
      <c r="HW55" s="69"/>
      <c r="HX55" s="69"/>
      <c r="HY55" s="69"/>
      <c r="HZ55" s="69"/>
      <c r="IA55" s="69"/>
      <c r="IB55" s="69"/>
      <c r="IC55" s="69"/>
      <c r="ID55" s="69"/>
      <c r="IE55" s="69"/>
      <c r="IF55" s="69"/>
      <c r="IG55" s="69"/>
      <c r="IH55" s="69"/>
      <c r="II55" s="69"/>
      <c r="IJ55" s="69"/>
      <c r="IK55" s="69"/>
      <c r="IL55" s="69"/>
      <c r="IM55" s="69"/>
      <c r="IN55" s="69"/>
      <c r="IO55" s="69"/>
      <c r="IP55" s="69"/>
      <c r="IQ55" s="69"/>
      <c r="IR55" s="69"/>
      <c r="IS55" s="69"/>
      <c r="IT55" s="69"/>
      <c r="IU55" s="69"/>
      <c r="IV55" s="69"/>
      <c r="IW55" s="69"/>
      <c r="IX55" s="69"/>
      <c r="IY55" s="69"/>
      <c r="IZ55" s="69"/>
      <c r="JA55" s="69"/>
      <c r="JB55" s="69"/>
      <c r="JC55" s="69"/>
      <c r="JD55" s="69"/>
      <c r="JE55" s="69"/>
      <c r="JF55" s="69"/>
      <c r="JG55" s="69"/>
      <c r="JH55" s="69"/>
      <c r="JI55" s="69"/>
      <c r="JJ55" s="69"/>
      <c r="JK55" s="69"/>
      <c r="JL55" s="69"/>
      <c r="JM55" s="69"/>
      <c r="JN55" s="69"/>
      <c r="JO55" s="69"/>
      <c r="JP55" s="69"/>
      <c r="JQ55" s="69"/>
      <c r="JR55" s="69"/>
      <c r="JS55" s="69"/>
      <c r="JT55" s="69"/>
      <c r="JU55" s="69"/>
      <c r="JV55" s="69"/>
      <c r="JW55" s="69"/>
      <c r="JX55" s="69"/>
      <c r="JY55" s="69"/>
      <c r="JZ55" s="69"/>
      <c r="KA55" s="69"/>
      <c r="KB55" s="69"/>
      <c r="KC55" s="69"/>
      <c r="KD55" s="69"/>
      <c r="KE55" s="69"/>
      <c r="KF55" s="69"/>
      <c r="KG55" s="69"/>
      <c r="KH55" s="69"/>
      <c r="KI55" s="69"/>
      <c r="KJ55" s="69"/>
      <c r="KK55" s="69"/>
      <c r="KL55" s="69"/>
      <c r="KM55" s="69"/>
      <c r="KN55" s="69"/>
      <c r="KO55" s="69"/>
      <c r="KP55" s="69"/>
      <c r="KQ55" s="69"/>
      <c r="KR55" s="69"/>
      <c r="KS55" s="69"/>
      <c r="KT55" s="69"/>
      <c r="KU55" s="69"/>
      <c r="KV55" s="69"/>
      <c r="KW55" s="69"/>
      <c r="KX55" s="69"/>
      <c r="KY55" s="69"/>
      <c r="KZ55" s="69"/>
      <c r="LA55" s="69"/>
      <c r="LB55" s="69"/>
      <c r="LC55" s="69"/>
      <c r="LD55" s="69"/>
      <c r="LE55" s="69"/>
      <c r="LF55" s="69"/>
      <c r="LG55" s="69"/>
      <c r="LH55" s="69"/>
      <c r="LI55" s="69"/>
      <c r="LJ55" s="69"/>
      <c r="LK55" s="69"/>
      <c r="LL55" s="69"/>
      <c r="LM55" s="69"/>
      <c r="LN55" s="69"/>
      <c r="LO55" s="69"/>
      <c r="LP55" s="69"/>
      <c r="LQ55" s="69"/>
      <c r="LR55" s="69"/>
      <c r="LS55" s="69"/>
      <c r="LT55" s="69"/>
      <c r="LU55" s="69"/>
      <c r="LV55" s="69"/>
      <c r="LW55" s="69"/>
      <c r="LX55" s="69"/>
      <c r="LY55" s="69"/>
      <c r="LZ55" s="69"/>
      <c r="MA55" s="69"/>
      <c r="MB55" s="69"/>
      <c r="MC55" s="69"/>
      <c r="MD55" s="69"/>
      <c r="ME55" s="69"/>
      <c r="MF55" s="69"/>
      <c r="MG55" s="69"/>
      <c r="MH55" s="69"/>
      <c r="MI55" s="69"/>
      <c r="MJ55" s="69"/>
      <c r="MK55" s="69"/>
      <c r="ML55" s="69"/>
      <c r="MM55" s="69"/>
      <c r="MN55" s="69"/>
      <c r="MO55" s="69"/>
      <c r="MP55" s="69"/>
      <c r="MQ55" s="69"/>
      <c r="MR55" s="69"/>
      <c r="MS55" s="69"/>
      <c r="MT55" s="69"/>
      <c r="MU55" s="69"/>
      <c r="MV55" s="69"/>
      <c r="MW55" s="69"/>
      <c r="MX55" s="69"/>
      <c r="MY55" s="69"/>
      <c r="MZ55" s="69"/>
      <c r="NA55" s="69"/>
      <c r="NB55" s="69"/>
      <c r="NC55" s="69"/>
      <c r="ND55" s="69"/>
      <c r="NE55" s="69"/>
      <c r="NF55" s="69"/>
      <c r="NG55" s="69"/>
      <c r="NH55" s="69"/>
      <c r="NI55" s="69"/>
      <c r="NJ55" s="69"/>
      <c r="NK55" s="69"/>
      <c r="NL55" s="69"/>
      <c r="NM55" s="69"/>
      <c r="NN55" s="69"/>
      <c r="NO55" s="69"/>
      <c r="NP55" s="69"/>
      <c r="NQ55" s="69"/>
      <c r="NR55" s="69"/>
      <c r="NS55" s="69"/>
      <c r="NT55" s="69"/>
      <c r="NU55" s="69"/>
      <c r="NV55" s="69"/>
      <c r="NW55" s="69"/>
      <c r="NX55" s="69"/>
      <c r="NY55" s="69"/>
      <c r="NZ55" s="69"/>
      <c r="OA55" s="69"/>
      <c r="OB55" s="69"/>
      <c r="OC55" s="69"/>
      <c r="OD55" s="69"/>
      <c r="OE55" s="69"/>
      <c r="OF55" s="69"/>
      <c r="OG55" s="69"/>
      <c r="OH55" s="69"/>
      <c r="OI55" s="69"/>
      <c r="OJ55" s="69"/>
      <c r="OK55" s="69"/>
      <c r="OL55" s="69"/>
      <c r="OM55" s="69"/>
      <c r="ON55" s="69"/>
      <c r="OO55" s="69"/>
      <c r="OP55" s="69"/>
      <c r="OQ55" s="69"/>
      <c r="OR55" s="69"/>
      <c r="OS55" s="69"/>
      <c r="OT55" s="69"/>
      <c r="OU55" s="69"/>
      <c r="OV55" s="69"/>
      <c r="OW55" s="69"/>
      <c r="OX55" s="69"/>
      <c r="OY55" s="69"/>
      <c r="OZ55" s="69"/>
      <c r="PA55" s="69"/>
      <c r="PB55" s="69"/>
      <c r="PC55" s="69"/>
      <c r="PD55" s="69"/>
      <c r="PE55" s="69"/>
      <c r="PF55" s="69"/>
      <c r="PG55" s="69"/>
      <c r="PH55" s="69"/>
      <c r="PI55" s="69"/>
      <c r="PJ55" s="69"/>
      <c r="PK55" s="69"/>
      <c r="PL55" s="69"/>
      <c r="PM55" s="69"/>
      <c r="PN55" s="69"/>
      <c r="PO55" s="69"/>
      <c r="PP55" s="69"/>
      <c r="PQ55" s="69"/>
      <c r="PR55" s="69"/>
      <c r="PS55" s="69"/>
      <c r="PT55" s="69"/>
      <c r="PU55" s="69"/>
      <c r="PV55" s="69"/>
      <c r="PW55" s="69"/>
      <c r="PX55" s="69"/>
      <c r="PY55" s="69"/>
      <c r="PZ55" s="69"/>
      <c r="QA55" s="69"/>
      <c r="QB55" s="69"/>
      <c r="QC55" s="69"/>
      <c r="QD55" s="69"/>
      <c r="QE55" s="69"/>
      <c r="QF55" s="69"/>
      <c r="QG55" s="69"/>
      <c r="QH55" s="69"/>
      <c r="QI55" s="69"/>
      <c r="QJ55" s="69"/>
      <c r="QK55" s="69"/>
      <c r="QL55" s="69"/>
      <c r="QM55" s="69"/>
      <c r="QN55" s="69"/>
      <c r="QO55" s="69"/>
      <c r="QP55" s="69"/>
      <c r="QQ55" s="69"/>
      <c r="QR55" s="69"/>
      <c r="QS55" s="69"/>
      <c r="QT55" s="69"/>
      <c r="QU55" s="69"/>
      <c r="QV55" s="69"/>
      <c r="QW55" s="69"/>
      <c r="QX55" s="69"/>
      <c r="QY55" s="69"/>
      <c r="QZ55" s="69"/>
      <c r="RA55" s="69"/>
      <c r="RB55" s="69"/>
      <c r="RC55" s="69"/>
      <c r="RD55" s="69"/>
      <c r="RE55" s="69"/>
      <c r="RF55" s="69"/>
      <c r="RG55" s="69"/>
      <c r="RH55" s="69"/>
      <c r="RI55" s="69"/>
      <c r="RJ55" s="69"/>
      <c r="RK55" s="69"/>
      <c r="RL55" s="69"/>
      <c r="RM55" s="69"/>
      <c r="RN55" s="69"/>
      <c r="RO55" s="69"/>
      <c r="RP55" s="69"/>
      <c r="RQ55" s="69"/>
      <c r="RR55" s="69"/>
      <c r="RS55" s="69"/>
      <c r="RT55" s="69"/>
      <c r="RU55" s="69"/>
      <c r="RV55" s="69"/>
      <c r="RW55" s="69"/>
      <c r="RX55" s="69"/>
      <c r="RY55" s="69"/>
      <c r="RZ55" s="69"/>
      <c r="SA55" s="69"/>
      <c r="SB55" s="69"/>
      <c r="SC55" s="69"/>
      <c r="SD55" s="69"/>
      <c r="SE55" s="69"/>
      <c r="SF55" s="69"/>
      <c r="SG55" s="69"/>
      <c r="SH55" s="69"/>
      <c r="SI55" s="69"/>
      <c r="SJ55" s="69"/>
      <c r="SK55" s="69"/>
      <c r="SL55" s="69"/>
      <c r="SM55" s="69"/>
      <c r="SN55" s="69"/>
      <c r="SO55" s="69"/>
      <c r="SP55" s="69"/>
      <c r="SQ55" s="69"/>
      <c r="SR55" s="69"/>
      <c r="SS55" s="69"/>
      <c r="ST55" s="69"/>
      <c r="SU55" s="69"/>
      <c r="SV55" s="69"/>
      <c r="SW55" s="69"/>
      <c r="SX55" s="69"/>
      <c r="SY55" s="69"/>
      <c r="SZ55" s="69"/>
      <c r="TA55" s="69"/>
      <c r="TB55" s="69"/>
      <c r="TC55" s="69"/>
      <c r="TD55" s="69"/>
      <c r="TE55" s="69"/>
      <c r="TF55" s="69"/>
      <c r="TG55" s="69"/>
      <c r="TH55" s="69"/>
      <c r="TI55" s="69"/>
      <c r="TJ55" s="69"/>
      <c r="TK55" s="69"/>
      <c r="TL55" s="69"/>
      <c r="TM55" s="69"/>
      <c r="TN55" s="69"/>
      <c r="TO55" s="69"/>
      <c r="TP55" s="69"/>
      <c r="TQ55" s="69"/>
      <c r="TR55" s="69"/>
      <c r="TS55" s="69"/>
      <c r="TT55" s="69"/>
      <c r="TU55" s="69"/>
      <c r="TV55" s="69"/>
      <c r="TW55" s="69"/>
      <c r="TX55" s="69"/>
      <c r="TY55" s="69"/>
      <c r="TZ55" s="69"/>
      <c r="UA55" s="69"/>
      <c r="UB55" s="69"/>
      <c r="UC55" s="69"/>
      <c r="UD55" s="69"/>
      <c r="UE55" s="69"/>
      <c r="UF55" s="69"/>
      <c r="UG55" s="69"/>
      <c r="UH55" s="69"/>
      <c r="UI55" s="69"/>
      <c r="UJ55" s="69"/>
      <c r="UK55" s="69"/>
      <c r="UL55" s="69"/>
      <c r="UM55" s="69"/>
      <c r="UN55" s="69"/>
      <c r="UO55" s="69"/>
      <c r="UP55" s="69"/>
      <c r="UQ55" s="69"/>
      <c r="UR55" s="69"/>
      <c r="US55" s="69"/>
      <c r="UT55" s="69"/>
      <c r="UU55" s="69"/>
      <c r="UV55" s="69"/>
      <c r="UW55" s="69"/>
      <c r="UX55" s="69"/>
      <c r="UY55" s="69"/>
      <c r="UZ55" s="69"/>
      <c r="VA55" s="69"/>
      <c r="VB55" s="69"/>
      <c r="VC55" s="69"/>
      <c r="VD55" s="69"/>
      <c r="VE55" s="69"/>
      <c r="VF55" s="69"/>
      <c r="VG55" s="69"/>
      <c r="VH55" s="69"/>
      <c r="VI55" s="69"/>
      <c r="VJ55" s="69"/>
      <c r="VK55" s="69"/>
      <c r="VL55" s="69"/>
      <c r="VM55" s="69"/>
      <c r="VN55" s="69"/>
      <c r="VO55" s="69"/>
      <c r="VP55" s="69"/>
      <c r="VQ55" s="69"/>
      <c r="VR55" s="69"/>
      <c r="VS55" s="69"/>
      <c r="VT55" s="69"/>
      <c r="VU55" s="69"/>
      <c r="VV55" s="69"/>
      <c r="VW55" s="69"/>
      <c r="VX55" s="69"/>
      <c r="VY55" s="69"/>
      <c r="VZ55" s="69"/>
      <c r="WA55" s="69"/>
      <c r="WB55" s="69"/>
      <c r="WC55" s="69"/>
      <c r="WD55" s="69"/>
      <c r="WE55" s="69"/>
      <c r="WF55" s="69"/>
      <c r="WG55" s="69"/>
      <c r="WH55" s="69"/>
      <c r="WI55" s="69"/>
      <c r="WJ55" s="69"/>
      <c r="WK55" s="69"/>
      <c r="WL55" s="69"/>
      <c r="WM55" s="69"/>
      <c r="WN55" s="69"/>
      <c r="WO55" s="69"/>
      <c r="WP55" s="69"/>
      <c r="WQ55" s="69"/>
      <c r="WR55" s="69"/>
      <c r="WS55" s="69"/>
      <c r="WT55" s="69"/>
      <c r="WU55" s="69"/>
      <c r="WV55" s="69"/>
      <c r="WW55" s="69"/>
      <c r="WX55" s="69"/>
      <c r="WY55" s="69"/>
      <c r="WZ55" s="69"/>
      <c r="XA55" s="69"/>
      <c r="XB55" s="69"/>
      <c r="XC55" s="69"/>
      <c r="XD55" s="69"/>
      <c r="XE55" s="69"/>
      <c r="XF55" s="69"/>
      <c r="XG55" s="69"/>
      <c r="XH55" s="69"/>
      <c r="XI55" s="69"/>
      <c r="XJ55" s="69"/>
      <c r="XK55" s="69"/>
      <c r="XL55" s="69"/>
      <c r="XM55" s="69"/>
      <c r="XN55" s="69"/>
      <c r="XO55" s="69"/>
      <c r="XP55" s="69"/>
      <c r="XQ55" s="69"/>
      <c r="XR55" s="69"/>
      <c r="XS55" s="69"/>
      <c r="XT55" s="69"/>
      <c r="XU55" s="69"/>
      <c r="XV55" s="69"/>
      <c r="XW55" s="69"/>
      <c r="XX55" s="69"/>
      <c r="XY55" s="69"/>
      <c r="XZ55" s="69"/>
      <c r="YA55" s="69"/>
      <c r="YB55" s="69"/>
      <c r="YC55" s="69"/>
      <c r="YD55" s="69"/>
      <c r="YE55" s="69"/>
      <c r="YF55" s="69"/>
      <c r="YG55" s="69"/>
      <c r="YH55" s="69"/>
      <c r="YI55" s="69"/>
      <c r="YJ55" s="69"/>
      <c r="YK55" s="69"/>
      <c r="YL55" s="69"/>
      <c r="YM55" s="69"/>
      <c r="YN55" s="69"/>
      <c r="YO55" s="69"/>
      <c r="YP55" s="69"/>
      <c r="YQ55" s="69"/>
      <c r="YR55" s="69"/>
      <c r="YS55" s="69"/>
      <c r="YT55" s="69"/>
      <c r="YU55" s="69"/>
      <c r="YV55" s="69"/>
      <c r="YW55" s="69"/>
      <c r="YX55" s="69"/>
      <c r="YY55" s="69"/>
      <c r="YZ55" s="69"/>
      <c r="ZA55" s="69"/>
      <c r="ZB55" s="69"/>
      <c r="ZC55" s="69"/>
      <c r="ZD55" s="69"/>
      <c r="ZE55" s="69"/>
      <c r="ZF55" s="69"/>
      <c r="ZG55" s="69"/>
      <c r="ZH55" s="69"/>
      <c r="ZI55" s="69"/>
      <c r="ZJ55" s="69"/>
      <c r="ZK55" s="69"/>
      <c r="ZL55" s="69"/>
      <c r="ZM55" s="69"/>
      <c r="ZN55" s="69"/>
      <c r="ZO55" s="69"/>
      <c r="ZP55" s="69"/>
      <c r="ZQ55" s="69"/>
      <c r="ZR55" s="69"/>
      <c r="ZS55" s="69"/>
      <c r="ZT55" s="69"/>
      <c r="ZU55" s="69"/>
      <c r="ZV55" s="69"/>
      <c r="ZW55" s="69"/>
      <c r="ZX55" s="69"/>
      <c r="ZY55" s="69"/>
      <c r="ZZ55" s="69"/>
      <c r="AAA55" s="69"/>
      <c r="AAB55" s="69"/>
      <c r="AAC55" s="69"/>
      <c r="AAD55" s="69"/>
      <c r="AAE55" s="69"/>
      <c r="AAF55" s="69"/>
      <c r="AAG55" s="69"/>
      <c r="AAH55" s="69"/>
      <c r="AAI55" s="69"/>
      <c r="AAJ55" s="69"/>
      <c r="AAK55" s="69"/>
      <c r="AAL55" s="69"/>
      <c r="AAM55" s="69"/>
      <c r="AAN55" s="69"/>
      <c r="AAO55" s="69"/>
      <c r="AAP55" s="69"/>
      <c r="AAQ55" s="69"/>
      <c r="AAR55" s="69"/>
      <c r="AAS55" s="69"/>
      <c r="AAT55" s="69"/>
      <c r="AAU55" s="69"/>
      <c r="AAV55" s="69"/>
      <c r="AAW55" s="69"/>
      <c r="AAX55" s="69"/>
      <c r="AAY55" s="69"/>
      <c r="AAZ55" s="69"/>
      <c r="ABA55" s="69"/>
      <c r="ABB55" s="69"/>
      <c r="ABC55" s="69"/>
      <c r="ABD55" s="69"/>
      <c r="ABE55" s="69"/>
      <c r="ABF55" s="69"/>
      <c r="ABG55" s="69"/>
      <c r="ABH55" s="69"/>
      <c r="ABI55" s="69"/>
      <c r="ABJ55" s="69"/>
      <c r="ABK55" s="69"/>
      <c r="ABL55" s="69"/>
      <c r="ABM55" s="69"/>
      <c r="ABN55" s="69"/>
      <c r="ABO55" s="69"/>
      <c r="ABP55" s="69"/>
      <c r="ABQ55" s="69"/>
      <c r="ABR55" s="69"/>
      <c r="ABS55" s="69"/>
      <c r="ABT55" s="69"/>
      <c r="ABU55" s="69"/>
      <c r="ABV55" s="69"/>
      <c r="ABW55" s="69"/>
      <c r="ABX55" s="69"/>
      <c r="ABY55" s="69"/>
      <c r="ABZ55" s="69"/>
      <c r="ACA55" s="69"/>
      <c r="ACB55" s="69"/>
      <c r="ACC55" s="69"/>
      <c r="ACD55" s="69"/>
      <c r="ACE55" s="69"/>
      <c r="ACF55" s="69"/>
      <c r="ACG55" s="69"/>
      <c r="ACH55" s="69"/>
      <c r="ACI55" s="69"/>
      <c r="ACJ55" s="69"/>
      <c r="ACK55" s="69"/>
      <c r="ACL55" s="69"/>
      <c r="ACM55" s="69"/>
      <c r="ACN55" s="69"/>
      <c r="ACO55" s="69"/>
      <c r="ACP55" s="69"/>
      <c r="ACQ55" s="69"/>
      <c r="ACR55" s="69"/>
      <c r="ACS55" s="69"/>
      <c r="ACT55" s="69"/>
      <c r="ACU55" s="69"/>
      <c r="ACV55" s="69"/>
      <c r="ACW55" s="69"/>
      <c r="ACX55" s="69"/>
      <c r="ACY55" s="69"/>
      <c r="ACZ55" s="69"/>
      <c r="ADA55" s="69"/>
      <c r="ADB55" s="69"/>
      <c r="ADC55" s="69"/>
      <c r="ADD55" s="69"/>
      <c r="ADE55" s="69"/>
      <c r="ADF55" s="69"/>
      <c r="ADG55" s="69"/>
      <c r="ADH55" s="69"/>
      <c r="ADI55" s="69"/>
      <c r="ADJ55" s="69"/>
      <c r="ADK55" s="69"/>
      <c r="ADL55" s="69"/>
      <c r="ADM55" s="69"/>
      <c r="ADN55" s="69"/>
      <c r="ADO55" s="69"/>
      <c r="ADP55" s="69"/>
      <c r="ADQ55" s="69"/>
      <c r="ADR55" s="69"/>
      <c r="ADS55" s="69"/>
      <c r="ADT55" s="69"/>
      <c r="ADU55" s="69"/>
      <c r="ADV55" s="69"/>
      <c r="ADW55" s="69"/>
      <c r="ADX55" s="69"/>
      <c r="ADY55" s="69"/>
      <c r="ADZ55" s="69"/>
      <c r="AEA55" s="69"/>
      <c r="AEB55" s="69"/>
      <c r="AEC55" s="69"/>
      <c r="AED55" s="69"/>
      <c r="AEE55" s="69"/>
      <c r="AEF55" s="69"/>
      <c r="AEG55" s="69"/>
      <c r="AEH55" s="69"/>
      <c r="AEI55" s="69"/>
      <c r="AEJ55" s="69"/>
      <c r="AEK55" s="69"/>
      <c r="AEL55" s="69"/>
      <c r="AEM55" s="69"/>
      <c r="AEN55" s="69"/>
      <c r="AEO55" s="69"/>
      <c r="AEP55" s="69"/>
      <c r="AEQ55" s="69"/>
      <c r="AER55" s="69"/>
      <c r="AES55" s="69"/>
      <c r="AET55" s="69"/>
      <c r="AEU55" s="69"/>
      <c r="AEV55" s="69"/>
      <c r="AEW55" s="69"/>
      <c r="AEX55" s="69"/>
      <c r="AEY55" s="69"/>
      <c r="AEZ55" s="69"/>
      <c r="AFA55" s="69"/>
      <c r="AFB55" s="69"/>
      <c r="AFC55" s="69"/>
      <c r="AFD55" s="69"/>
      <c r="AFE55" s="69"/>
      <c r="AFF55" s="69"/>
      <c r="AFG55" s="69"/>
      <c r="AFH55" s="69"/>
      <c r="AFI55" s="69"/>
      <c r="AFJ55" s="69"/>
      <c r="AFK55" s="69"/>
      <c r="AFL55" s="69"/>
      <c r="AFM55" s="69"/>
      <c r="AFN55" s="69"/>
      <c r="AFO55" s="69"/>
      <c r="AFP55" s="69"/>
      <c r="AFQ55" s="69"/>
      <c r="AFR55" s="69"/>
      <c r="AFS55" s="69"/>
      <c r="AFT55" s="69"/>
      <c r="AFU55" s="69"/>
      <c r="AFV55" s="69"/>
      <c r="AFW55" s="69"/>
      <c r="AFX55" s="69"/>
      <c r="AFY55" s="69"/>
      <c r="AFZ55" s="69"/>
      <c r="AGA55" s="69"/>
      <c r="AGB55" s="69"/>
      <c r="AGC55" s="69"/>
      <c r="AGD55" s="69"/>
      <c r="AGE55" s="69"/>
      <c r="AGF55" s="69"/>
      <c r="AGG55" s="69"/>
      <c r="AGH55" s="69"/>
      <c r="AGI55" s="69"/>
      <c r="AGJ55" s="69"/>
      <c r="AGK55" s="69"/>
      <c r="AGL55" s="69"/>
      <c r="AGM55" s="69"/>
      <c r="AGN55" s="69"/>
      <c r="AGO55" s="69"/>
      <c r="AGP55" s="69"/>
      <c r="AGQ55" s="69"/>
      <c r="AGR55" s="69"/>
      <c r="AGS55" s="69"/>
      <c r="AGT55" s="69"/>
      <c r="AGU55" s="69"/>
      <c r="AGV55" s="69"/>
      <c r="AGW55" s="69"/>
      <c r="AGX55" s="69"/>
      <c r="AGY55" s="69"/>
      <c r="AGZ55" s="69"/>
      <c r="AHA55" s="69"/>
      <c r="AHB55" s="69"/>
      <c r="AHC55" s="69"/>
      <c r="AHD55" s="69"/>
      <c r="AHE55" s="69"/>
      <c r="AHF55" s="69"/>
      <c r="AHG55" s="69"/>
      <c r="AHH55" s="69"/>
      <c r="AHI55" s="69"/>
      <c r="AHJ55" s="69"/>
      <c r="AHK55" s="69"/>
      <c r="AHL55" s="69"/>
      <c r="AHM55" s="69"/>
      <c r="AHN55" s="69"/>
      <c r="AHO55" s="69"/>
      <c r="AHP55" s="69"/>
      <c r="AHQ55" s="69"/>
      <c r="AHR55" s="69"/>
      <c r="AHS55" s="69"/>
      <c r="AHT55" s="69"/>
      <c r="AHU55" s="69"/>
      <c r="AHV55" s="69"/>
      <c r="AHW55" s="69"/>
      <c r="AHX55" s="69"/>
      <c r="AHY55" s="69"/>
      <c r="AHZ55" s="69"/>
      <c r="AIA55" s="69"/>
      <c r="AIB55" s="69"/>
      <c r="AIC55" s="69"/>
      <c r="AID55" s="69"/>
      <c r="AIE55" s="69"/>
      <c r="AIF55" s="69"/>
      <c r="AIG55" s="69"/>
      <c r="AIH55" s="69"/>
      <c r="AII55" s="69"/>
      <c r="AIJ55" s="69"/>
      <c r="AIK55" s="69"/>
      <c r="AIL55" s="69"/>
      <c r="AIM55" s="69"/>
      <c r="AIN55" s="69"/>
      <c r="AIO55" s="69"/>
      <c r="AIP55" s="69"/>
      <c r="AIQ55" s="69"/>
      <c r="AIR55" s="69"/>
      <c r="AIS55" s="69"/>
      <c r="AIT55" s="69"/>
      <c r="AIU55" s="69"/>
      <c r="AIV55" s="69"/>
      <c r="AIW55" s="69"/>
      <c r="AIX55" s="69"/>
      <c r="AIY55" s="69"/>
      <c r="AIZ55" s="69"/>
      <c r="AJA55" s="69"/>
      <c r="AJB55" s="69"/>
      <c r="AJC55" s="69"/>
      <c r="AJD55" s="69"/>
      <c r="AJE55" s="69"/>
      <c r="AJF55" s="69"/>
      <c r="AJG55" s="69"/>
      <c r="AJH55" s="69"/>
      <c r="AJI55" s="69"/>
      <c r="AJJ55" s="69"/>
      <c r="AJK55" s="69"/>
      <c r="AJL55" s="69"/>
      <c r="AJM55" s="69"/>
      <c r="AJN55" s="69"/>
      <c r="AJO55" s="69"/>
      <c r="AJP55" s="69"/>
      <c r="AJQ55" s="69"/>
      <c r="AJR55" s="69"/>
      <c r="AJS55" s="69"/>
      <c r="AJT55" s="69"/>
      <c r="AJU55" s="69"/>
      <c r="AJV55" s="69"/>
      <c r="AJW55" s="69"/>
      <c r="AJX55" s="69"/>
      <c r="AJY55" s="69"/>
      <c r="AJZ55" s="69"/>
      <c r="AKA55" s="69"/>
      <c r="AKB55" s="69"/>
      <c r="AKC55" s="69"/>
      <c r="AKD55" s="69"/>
      <c r="AKE55" s="69"/>
      <c r="AKF55" s="69"/>
      <c r="AKG55" s="69"/>
      <c r="AKH55" s="69"/>
      <c r="AKI55" s="69"/>
      <c r="AKJ55" s="69"/>
      <c r="AKK55" s="69"/>
      <c r="AKL55" s="69"/>
      <c r="AKM55" s="69"/>
      <c r="AKN55" s="69"/>
      <c r="AKO55" s="69"/>
      <c r="AKP55" s="69"/>
      <c r="AKQ55" s="69"/>
      <c r="AKR55" s="69"/>
      <c r="AKS55" s="69"/>
      <c r="AKT55" s="69"/>
      <c r="AKU55" s="69"/>
      <c r="AKV55" s="69"/>
      <c r="AKW55" s="69"/>
      <c r="AKX55" s="69"/>
      <c r="AKY55" s="69"/>
      <c r="AKZ55" s="69"/>
      <c r="ALA55" s="69"/>
      <c r="ALB55" s="69"/>
      <c r="ALC55" s="69"/>
      <c r="ALD55" s="69"/>
      <c r="ALE55" s="69"/>
      <c r="ALF55" s="69"/>
      <c r="ALG55" s="69"/>
      <c r="ALH55" s="69"/>
      <c r="ALI55" s="69"/>
      <c r="ALJ55" s="69"/>
      <c r="ALK55" s="69"/>
      <c r="ALL55" s="69"/>
      <c r="ALM55" s="69"/>
      <c r="ALN55" s="69"/>
      <c r="ALO55" s="69"/>
      <c r="ALP55" s="69"/>
      <c r="ALQ55" s="69"/>
      <c r="ALR55" s="69"/>
      <c r="ALS55" s="69"/>
      <c r="ALT55" s="69"/>
      <c r="ALU55" s="69"/>
      <c r="ALV55" s="69"/>
      <c r="ALW55" s="69"/>
      <c r="ALX55" s="69"/>
      <c r="ALY55" s="69"/>
      <c r="ALZ55" s="69"/>
      <c r="AMA55" s="69"/>
      <c r="AMB55" s="69"/>
      <c r="AMC55" s="69"/>
      <c r="AMD55" s="69"/>
      <c r="AME55" s="69"/>
      <c r="AMF55" s="69"/>
      <c r="AMG55" s="69"/>
      <c r="AMH55" s="69"/>
      <c r="AMI55" s="69"/>
      <c r="AMJ55" s="69"/>
    </row>
    <row r="56" s="70" customFormat="true" ht="86.55" hidden="false" customHeight="false" outlineLevel="0" collapsed="false">
      <c r="A56" s="71" t="s">
        <v>164</v>
      </c>
      <c r="B56" s="71" t="s">
        <v>165</v>
      </c>
      <c r="C56" s="72" t="s">
        <v>10</v>
      </c>
      <c r="D56" s="73" t="s">
        <v>166</v>
      </c>
      <c r="E56" s="74" t="s">
        <v>13</v>
      </c>
      <c r="F56" s="72" t="s">
        <v>13</v>
      </c>
      <c r="G56" s="75" t="n">
        <v>17.64</v>
      </c>
      <c r="H56" s="63"/>
      <c r="I56" s="63"/>
      <c r="J56" s="63"/>
      <c r="K56" s="64"/>
      <c r="L56" s="64"/>
      <c r="M56" s="41"/>
      <c r="N56" s="41"/>
      <c r="O56" s="41"/>
      <c r="P56" s="41"/>
      <c r="Q56" s="41"/>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c r="EO56" s="69"/>
      <c r="EP56" s="69"/>
      <c r="EQ56" s="69"/>
      <c r="ER56" s="69"/>
      <c r="ES56" s="69"/>
      <c r="ET56" s="69"/>
      <c r="EU56" s="69"/>
      <c r="EV56" s="69"/>
      <c r="EW56" s="69"/>
      <c r="EX56" s="69"/>
      <c r="EY56" s="69"/>
      <c r="EZ56" s="69"/>
      <c r="FA56" s="69"/>
      <c r="FB56" s="69"/>
      <c r="FC56" s="69"/>
      <c r="FD56" s="69"/>
      <c r="FE56" s="69"/>
      <c r="FF56" s="69"/>
      <c r="FG56" s="69"/>
      <c r="FH56" s="69"/>
      <c r="FI56" s="69"/>
      <c r="FJ56" s="69"/>
      <c r="FK56" s="69"/>
      <c r="FL56" s="69"/>
      <c r="FM56" s="69"/>
      <c r="FN56" s="69"/>
      <c r="FO56" s="69"/>
      <c r="FP56" s="69"/>
      <c r="FQ56" s="69"/>
      <c r="FR56" s="69"/>
      <c r="FS56" s="69"/>
      <c r="FT56" s="69"/>
      <c r="FU56" s="69"/>
      <c r="FV56" s="69"/>
      <c r="FW56" s="69"/>
      <c r="FX56" s="69"/>
      <c r="FY56" s="69"/>
      <c r="FZ56" s="69"/>
      <c r="GA56" s="69"/>
      <c r="GB56" s="69"/>
      <c r="GC56" s="69"/>
      <c r="GD56" s="69"/>
      <c r="GE56" s="69"/>
      <c r="GF56" s="69"/>
      <c r="GG56" s="69"/>
      <c r="GH56" s="69"/>
      <c r="GI56" s="69"/>
      <c r="GJ56" s="69"/>
      <c r="GK56" s="69"/>
      <c r="GL56" s="69"/>
      <c r="GM56" s="69"/>
      <c r="GN56" s="69"/>
      <c r="GO56" s="69"/>
      <c r="GP56" s="69"/>
      <c r="GQ56" s="69"/>
      <c r="GR56" s="69"/>
      <c r="GS56" s="69"/>
      <c r="GT56" s="69"/>
      <c r="GU56" s="69"/>
      <c r="GV56" s="69"/>
      <c r="GW56" s="69"/>
      <c r="GX56" s="69"/>
      <c r="GY56" s="69"/>
      <c r="GZ56" s="69"/>
      <c r="HA56" s="69"/>
      <c r="HB56" s="69"/>
      <c r="HC56" s="69"/>
      <c r="HD56" s="69"/>
      <c r="HE56" s="69"/>
      <c r="HF56" s="69"/>
      <c r="HG56" s="69"/>
      <c r="HH56" s="69"/>
      <c r="HI56" s="69"/>
      <c r="HJ56" s="69"/>
      <c r="HK56" s="69"/>
      <c r="HL56" s="69"/>
      <c r="HM56" s="69"/>
      <c r="HN56" s="69"/>
      <c r="HO56" s="69"/>
      <c r="HP56" s="69"/>
      <c r="HQ56" s="69"/>
      <c r="HR56" s="69"/>
      <c r="HS56" s="69"/>
      <c r="HT56" s="69"/>
      <c r="HU56" s="69"/>
      <c r="HV56" s="69"/>
      <c r="HW56" s="69"/>
      <c r="HX56" s="69"/>
      <c r="HY56" s="69"/>
      <c r="HZ56" s="69"/>
      <c r="IA56" s="69"/>
      <c r="IB56" s="69"/>
      <c r="IC56" s="69"/>
      <c r="ID56" s="69"/>
      <c r="IE56" s="69"/>
      <c r="IF56" s="69"/>
      <c r="IG56" s="69"/>
      <c r="IH56" s="69"/>
      <c r="II56" s="69"/>
      <c r="IJ56" s="69"/>
      <c r="IK56" s="69"/>
      <c r="IL56" s="69"/>
      <c r="IM56" s="69"/>
      <c r="IN56" s="69"/>
      <c r="IO56" s="69"/>
      <c r="IP56" s="69"/>
      <c r="IQ56" s="69"/>
      <c r="IR56" s="69"/>
      <c r="IS56" s="69"/>
      <c r="IT56" s="69"/>
      <c r="IU56" s="69"/>
      <c r="IV56" s="69"/>
      <c r="IW56" s="69"/>
      <c r="IX56" s="69"/>
      <c r="IY56" s="69"/>
      <c r="IZ56" s="69"/>
      <c r="JA56" s="69"/>
      <c r="JB56" s="69"/>
      <c r="JC56" s="69"/>
      <c r="JD56" s="69"/>
      <c r="JE56" s="69"/>
      <c r="JF56" s="69"/>
      <c r="JG56" s="69"/>
      <c r="JH56" s="69"/>
      <c r="JI56" s="69"/>
      <c r="JJ56" s="69"/>
      <c r="JK56" s="69"/>
      <c r="JL56" s="69"/>
      <c r="JM56" s="69"/>
      <c r="JN56" s="69"/>
      <c r="JO56" s="69"/>
      <c r="JP56" s="69"/>
      <c r="JQ56" s="69"/>
      <c r="JR56" s="69"/>
      <c r="JS56" s="69"/>
      <c r="JT56" s="69"/>
      <c r="JU56" s="69"/>
      <c r="JV56" s="69"/>
      <c r="JW56" s="69"/>
      <c r="JX56" s="69"/>
      <c r="JY56" s="69"/>
      <c r="JZ56" s="69"/>
      <c r="KA56" s="69"/>
      <c r="KB56" s="69"/>
      <c r="KC56" s="69"/>
      <c r="KD56" s="69"/>
      <c r="KE56" s="69"/>
      <c r="KF56" s="69"/>
      <c r="KG56" s="69"/>
      <c r="KH56" s="69"/>
      <c r="KI56" s="69"/>
      <c r="KJ56" s="69"/>
      <c r="KK56" s="69"/>
      <c r="KL56" s="69"/>
      <c r="KM56" s="69"/>
      <c r="KN56" s="69"/>
      <c r="KO56" s="69"/>
      <c r="KP56" s="69"/>
      <c r="KQ56" s="69"/>
      <c r="KR56" s="69"/>
      <c r="KS56" s="69"/>
      <c r="KT56" s="69"/>
      <c r="KU56" s="69"/>
      <c r="KV56" s="69"/>
      <c r="KW56" s="69"/>
      <c r="KX56" s="69"/>
      <c r="KY56" s="69"/>
      <c r="KZ56" s="69"/>
      <c r="LA56" s="69"/>
      <c r="LB56" s="69"/>
      <c r="LC56" s="69"/>
      <c r="LD56" s="69"/>
      <c r="LE56" s="69"/>
      <c r="LF56" s="69"/>
      <c r="LG56" s="69"/>
      <c r="LH56" s="69"/>
      <c r="LI56" s="69"/>
      <c r="LJ56" s="69"/>
      <c r="LK56" s="69"/>
      <c r="LL56" s="69"/>
      <c r="LM56" s="69"/>
      <c r="LN56" s="69"/>
      <c r="LO56" s="69"/>
      <c r="LP56" s="69"/>
      <c r="LQ56" s="69"/>
      <c r="LR56" s="69"/>
      <c r="LS56" s="69"/>
      <c r="LT56" s="69"/>
      <c r="LU56" s="69"/>
      <c r="LV56" s="69"/>
      <c r="LW56" s="69"/>
      <c r="LX56" s="69"/>
      <c r="LY56" s="69"/>
      <c r="LZ56" s="69"/>
      <c r="MA56" s="69"/>
      <c r="MB56" s="69"/>
      <c r="MC56" s="69"/>
      <c r="MD56" s="69"/>
      <c r="ME56" s="69"/>
      <c r="MF56" s="69"/>
      <c r="MG56" s="69"/>
      <c r="MH56" s="69"/>
      <c r="MI56" s="69"/>
      <c r="MJ56" s="69"/>
      <c r="MK56" s="69"/>
      <c r="ML56" s="69"/>
      <c r="MM56" s="69"/>
      <c r="MN56" s="69"/>
      <c r="MO56" s="69"/>
      <c r="MP56" s="69"/>
      <c r="MQ56" s="69"/>
      <c r="MR56" s="69"/>
      <c r="MS56" s="69"/>
      <c r="MT56" s="69"/>
      <c r="MU56" s="69"/>
      <c r="MV56" s="69"/>
      <c r="MW56" s="69"/>
      <c r="MX56" s="69"/>
      <c r="MY56" s="69"/>
      <c r="MZ56" s="69"/>
      <c r="NA56" s="69"/>
      <c r="NB56" s="69"/>
      <c r="NC56" s="69"/>
      <c r="ND56" s="69"/>
      <c r="NE56" s="69"/>
      <c r="NF56" s="69"/>
      <c r="NG56" s="69"/>
      <c r="NH56" s="69"/>
      <c r="NI56" s="69"/>
      <c r="NJ56" s="69"/>
      <c r="NK56" s="69"/>
      <c r="NL56" s="69"/>
      <c r="NM56" s="69"/>
      <c r="NN56" s="69"/>
      <c r="NO56" s="69"/>
      <c r="NP56" s="69"/>
      <c r="NQ56" s="69"/>
      <c r="NR56" s="69"/>
      <c r="NS56" s="69"/>
      <c r="NT56" s="69"/>
      <c r="NU56" s="69"/>
      <c r="NV56" s="69"/>
      <c r="NW56" s="69"/>
      <c r="NX56" s="69"/>
      <c r="NY56" s="69"/>
      <c r="NZ56" s="69"/>
      <c r="OA56" s="69"/>
      <c r="OB56" s="69"/>
      <c r="OC56" s="69"/>
      <c r="OD56" s="69"/>
      <c r="OE56" s="69"/>
      <c r="OF56" s="69"/>
      <c r="OG56" s="69"/>
      <c r="OH56" s="69"/>
      <c r="OI56" s="69"/>
      <c r="OJ56" s="69"/>
      <c r="OK56" s="69"/>
      <c r="OL56" s="69"/>
      <c r="OM56" s="69"/>
      <c r="ON56" s="69"/>
      <c r="OO56" s="69"/>
      <c r="OP56" s="69"/>
      <c r="OQ56" s="69"/>
      <c r="OR56" s="69"/>
      <c r="OS56" s="69"/>
      <c r="OT56" s="69"/>
      <c r="OU56" s="69"/>
      <c r="OV56" s="69"/>
      <c r="OW56" s="69"/>
      <c r="OX56" s="69"/>
      <c r="OY56" s="69"/>
      <c r="OZ56" s="69"/>
      <c r="PA56" s="69"/>
      <c r="PB56" s="69"/>
      <c r="PC56" s="69"/>
      <c r="PD56" s="69"/>
      <c r="PE56" s="69"/>
      <c r="PF56" s="69"/>
      <c r="PG56" s="69"/>
      <c r="PH56" s="69"/>
      <c r="PI56" s="69"/>
      <c r="PJ56" s="69"/>
      <c r="PK56" s="69"/>
      <c r="PL56" s="69"/>
      <c r="PM56" s="69"/>
      <c r="PN56" s="69"/>
      <c r="PO56" s="69"/>
      <c r="PP56" s="69"/>
      <c r="PQ56" s="69"/>
      <c r="PR56" s="69"/>
      <c r="PS56" s="69"/>
      <c r="PT56" s="69"/>
      <c r="PU56" s="69"/>
      <c r="PV56" s="69"/>
      <c r="PW56" s="69"/>
      <c r="PX56" s="69"/>
      <c r="PY56" s="69"/>
      <c r="PZ56" s="69"/>
      <c r="QA56" s="69"/>
      <c r="QB56" s="69"/>
      <c r="QC56" s="69"/>
      <c r="QD56" s="69"/>
      <c r="QE56" s="69"/>
      <c r="QF56" s="69"/>
      <c r="QG56" s="69"/>
      <c r="QH56" s="69"/>
      <c r="QI56" s="69"/>
      <c r="QJ56" s="69"/>
      <c r="QK56" s="69"/>
      <c r="QL56" s="69"/>
      <c r="QM56" s="69"/>
      <c r="QN56" s="69"/>
      <c r="QO56" s="69"/>
      <c r="QP56" s="69"/>
      <c r="QQ56" s="69"/>
      <c r="QR56" s="69"/>
      <c r="QS56" s="69"/>
      <c r="QT56" s="69"/>
      <c r="QU56" s="69"/>
      <c r="QV56" s="69"/>
      <c r="QW56" s="69"/>
      <c r="QX56" s="69"/>
      <c r="QY56" s="69"/>
      <c r="QZ56" s="69"/>
      <c r="RA56" s="69"/>
      <c r="RB56" s="69"/>
      <c r="RC56" s="69"/>
      <c r="RD56" s="69"/>
      <c r="RE56" s="69"/>
      <c r="RF56" s="69"/>
      <c r="RG56" s="69"/>
      <c r="RH56" s="69"/>
      <c r="RI56" s="69"/>
      <c r="RJ56" s="69"/>
      <c r="RK56" s="69"/>
      <c r="RL56" s="69"/>
      <c r="RM56" s="69"/>
      <c r="RN56" s="69"/>
      <c r="RO56" s="69"/>
      <c r="RP56" s="69"/>
      <c r="RQ56" s="69"/>
      <c r="RR56" s="69"/>
      <c r="RS56" s="69"/>
      <c r="RT56" s="69"/>
      <c r="RU56" s="69"/>
      <c r="RV56" s="69"/>
      <c r="RW56" s="69"/>
      <c r="RX56" s="69"/>
      <c r="RY56" s="69"/>
      <c r="RZ56" s="69"/>
      <c r="SA56" s="69"/>
      <c r="SB56" s="69"/>
      <c r="SC56" s="69"/>
      <c r="SD56" s="69"/>
      <c r="SE56" s="69"/>
      <c r="SF56" s="69"/>
      <c r="SG56" s="69"/>
      <c r="SH56" s="69"/>
      <c r="SI56" s="69"/>
      <c r="SJ56" s="69"/>
      <c r="SK56" s="69"/>
      <c r="SL56" s="69"/>
      <c r="SM56" s="69"/>
      <c r="SN56" s="69"/>
      <c r="SO56" s="69"/>
      <c r="SP56" s="69"/>
      <c r="SQ56" s="69"/>
      <c r="SR56" s="69"/>
      <c r="SS56" s="69"/>
      <c r="ST56" s="69"/>
      <c r="SU56" s="69"/>
      <c r="SV56" s="69"/>
      <c r="SW56" s="69"/>
      <c r="SX56" s="69"/>
      <c r="SY56" s="69"/>
      <c r="SZ56" s="69"/>
      <c r="TA56" s="69"/>
      <c r="TB56" s="69"/>
      <c r="TC56" s="69"/>
      <c r="TD56" s="69"/>
      <c r="TE56" s="69"/>
      <c r="TF56" s="69"/>
      <c r="TG56" s="69"/>
      <c r="TH56" s="69"/>
      <c r="TI56" s="69"/>
      <c r="TJ56" s="69"/>
      <c r="TK56" s="69"/>
      <c r="TL56" s="69"/>
      <c r="TM56" s="69"/>
      <c r="TN56" s="69"/>
      <c r="TO56" s="69"/>
      <c r="TP56" s="69"/>
      <c r="TQ56" s="69"/>
      <c r="TR56" s="69"/>
      <c r="TS56" s="69"/>
      <c r="TT56" s="69"/>
      <c r="TU56" s="69"/>
      <c r="TV56" s="69"/>
      <c r="TW56" s="69"/>
      <c r="TX56" s="69"/>
      <c r="TY56" s="69"/>
      <c r="TZ56" s="69"/>
      <c r="UA56" s="69"/>
      <c r="UB56" s="69"/>
      <c r="UC56" s="69"/>
      <c r="UD56" s="69"/>
      <c r="UE56" s="69"/>
      <c r="UF56" s="69"/>
      <c r="UG56" s="69"/>
      <c r="UH56" s="69"/>
      <c r="UI56" s="69"/>
      <c r="UJ56" s="69"/>
      <c r="UK56" s="69"/>
      <c r="UL56" s="69"/>
      <c r="UM56" s="69"/>
      <c r="UN56" s="69"/>
      <c r="UO56" s="69"/>
      <c r="UP56" s="69"/>
      <c r="UQ56" s="69"/>
      <c r="UR56" s="69"/>
      <c r="US56" s="69"/>
      <c r="UT56" s="69"/>
      <c r="UU56" s="69"/>
      <c r="UV56" s="69"/>
      <c r="UW56" s="69"/>
      <c r="UX56" s="69"/>
      <c r="UY56" s="69"/>
      <c r="UZ56" s="69"/>
      <c r="VA56" s="69"/>
      <c r="VB56" s="69"/>
      <c r="VC56" s="69"/>
      <c r="VD56" s="69"/>
      <c r="VE56" s="69"/>
      <c r="VF56" s="69"/>
      <c r="VG56" s="69"/>
      <c r="VH56" s="69"/>
      <c r="VI56" s="69"/>
      <c r="VJ56" s="69"/>
      <c r="VK56" s="69"/>
      <c r="VL56" s="69"/>
      <c r="VM56" s="69"/>
      <c r="VN56" s="69"/>
      <c r="VO56" s="69"/>
      <c r="VP56" s="69"/>
      <c r="VQ56" s="69"/>
      <c r="VR56" s="69"/>
      <c r="VS56" s="69"/>
      <c r="VT56" s="69"/>
      <c r="VU56" s="69"/>
      <c r="VV56" s="69"/>
      <c r="VW56" s="69"/>
      <c r="VX56" s="69"/>
      <c r="VY56" s="69"/>
      <c r="VZ56" s="69"/>
      <c r="WA56" s="69"/>
      <c r="WB56" s="69"/>
      <c r="WC56" s="69"/>
      <c r="WD56" s="69"/>
      <c r="WE56" s="69"/>
      <c r="WF56" s="69"/>
      <c r="WG56" s="69"/>
      <c r="WH56" s="69"/>
      <c r="WI56" s="69"/>
      <c r="WJ56" s="69"/>
      <c r="WK56" s="69"/>
      <c r="WL56" s="69"/>
      <c r="WM56" s="69"/>
      <c r="WN56" s="69"/>
      <c r="WO56" s="69"/>
      <c r="WP56" s="69"/>
      <c r="WQ56" s="69"/>
      <c r="WR56" s="69"/>
      <c r="WS56" s="69"/>
      <c r="WT56" s="69"/>
      <c r="WU56" s="69"/>
      <c r="WV56" s="69"/>
      <c r="WW56" s="69"/>
      <c r="WX56" s="69"/>
      <c r="WY56" s="69"/>
      <c r="WZ56" s="69"/>
      <c r="XA56" s="69"/>
      <c r="XB56" s="69"/>
      <c r="XC56" s="69"/>
      <c r="XD56" s="69"/>
      <c r="XE56" s="69"/>
      <c r="XF56" s="69"/>
      <c r="XG56" s="69"/>
      <c r="XH56" s="69"/>
      <c r="XI56" s="69"/>
      <c r="XJ56" s="69"/>
      <c r="XK56" s="69"/>
      <c r="XL56" s="69"/>
      <c r="XM56" s="69"/>
      <c r="XN56" s="69"/>
      <c r="XO56" s="69"/>
      <c r="XP56" s="69"/>
      <c r="XQ56" s="69"/>
      <c r="XR56" s="69"/>
      <c r="XS56" s="69"/>
      <c r="XT56" s="69"/>
      <c r="XU56" s="69"/>
      <c r="XV56" s="69"/>
      <c r="XW56" s="69"/>
      <c r="XX56" s="69"/>
      <c r="XY56" s="69"/>
      <c r="XZ56" s="69"/>
      <c r="YA56" s="69"/>
      <c r="YB56" s="69"/>
      <c r="YC56" s="69"/>
      <c r="YD56" s="69"/>
      <c r="YE56" s="69"/>
      <c r="YF56" s="69"/>
      <c r="YG56" s="69"/>
      <c r="YH56" s="69"/>
      <c r="YI56" s="69"/>
      <c r="YJ56" s="69"/>
      <c r="YK56" s="69"/>
      <c r="YL56" s="69"/>
      <c r="YM56" s="69"/>
      <c r="YN56" s="69"/>
      <c r="YO56" s="69"/>
      <c r="YP56" s="69"/>
      <c r="YQ56" s="69"/>
      <c r="YR56" s="69"/>
      <c r="YS56" s="69"/>
      <c r="YT56" s="69"/>
      <c r="YU56" s="69"/>
      <c r="YV56" s="69"/>
      <c r="YW56" s="69"/>
      <c r="YX56" s="69"/>
      <c r="YY56" s="69"/>
      <c r="YZ56" s="69"/>
      <c r="ZA56" s="69"/>
      <c r="ZB56" s="69"/>
      <c r="ZC56" s="69"/>
      <c r="ZD56" s="69"/>
      <c r="ZE56" s="69"/>
      <c r="ZF56" s="69"/>
      <c r="ZG56" s="69"/>
      <c r="ZH56" s="69"/>
      <c r="ZI56" s="69"/>
      <c r="ZJ56" s="69"/>
      <c r="ZK56" s="69"/>
      <c r="ZL56" s="69"/>
      <c r="ZM56" s="69"/>
      <c r="ZN56" s="69"/>
      <c r="ZO56" s="69"/>
      <c r="ZP56" s="69"/>
      <c r="ZQ56" s="69"/>
      <c r="ZR56" s="69"/>
      <c r="ZS56" s="69"/>
      <c r="ZT56" s="69"/>
      <c r="ZU56" s="69"/>
      <c r="ZV56" s="69"/>
      <c r="ZW56" s="69"/>
      <c r="ZX56" s="69"/>
      <c r="ZY56" s="69"/>
      <c r="ZZ56" s="69"/>
      <c r="AAA56" s="69"/>
      <c r="AAB56" s="69"/>
      <c r="AAC56" s="69"/>
      <c r="AAD56" s="69"/>
      <c r="AAE56" s="69"/>
      <c r="AAF56" s="69"/>
      <c r="AAG56" s="69"/>
      <c r="AAH56" s="69"/>
      <c r="AAI56" s="69"/>
      <c r="AAJ56" s="69"/>
      <c r="AAK56" s="69"/>
      <c r="AAL56" s="69"/>
      <c r="AAM56" s="69"/>
      <c r="AAN56" s="69"/>
      <c r="AAO56" s="69"/>
      <c r="AAP56" s="69"/>
      <c r="AAQ56" s="69"/>
      <c r="AAR56" s="69"/>
      <c r="AAS56" s="69"/>
      <c r="AAT56" s="69"/>
      <c r="AAU56" s="69"/>
      <c r="AAV56" s="69"/>
      <c r="AAW56" s="69"/>
      <c r="AAX56" s="69"/>
      <c r="AAY56" s="69"/>
      <c r="AAZ56" s="69"/>
      <c r="ABA56" s="69"/>
      <c r="ABB56" s="69"/>
      <c r="ABC56" s="69"/>
      <c r="ABD56" s="69"/>
      <c r="ABE56" s="69"/>
      <c r="ABF56" s="69"/>
      <c r="ABG56" s="69"/>
      <c r="ABH56" s="69"/>
      <c r="ABI56" s="69"/>
      <c r="ABJ56" s="69"/>
      <c r="ABK56" s="69"/>
      <c r="ABL56" s="69"/>
      <c r="ABM56" s="69"/>
      <c r="ABN56" s="69"/>
      <c r="ABO56" s="69"/>
      <c r="ABP56" s="69"/>
      <c r="ABQ56" s="69"/>
      <c r="ABR56" s="69"/>
      <c r="ABS56" s="69"/>
      <c r="ABT56" s="69"/>
      <c r="ABU56" s="69"/>
      <c r="ABV56" s="69"/>
      <c r="ABW56" s="69"/>
      <c r="ABX56" s="69"/>
      <c r="ABY56" s="69"/>
      <c r="ABZ56" s="69"/>
      <c r="ACA56" s="69"/>
      <c r="ACB56" s="69"/>
      <c r="ACC56" s="69"/>
      <c r="ACD56" s="69"/>
      <c r="ACE56" s="69"/>
      <c r="ACF56" s="69"/>
      <c r="ACG56" s="69"/>
      <c r="ACH56" s="69"/>
      <c r="ACI56" s="69"/>
      <c r="ACJ56" s="69"/>
      <c r="ACK56" s="69"/>
      <c r="ACL56" s="69"/>
      <c r="ACM56" s="69"/>
      <c r="ACN56" s="69"/>
      <c r="ACO56" s="69"/>
      <c r="ACP56" s="69"/>
      <c r="ACQ56" s="69"/>
      <c r="ACR56" s="69"/>
      <c r="ACS56" s="69"/>
      <c r="ACT56" s="69"/>
      <c r="ACU56" s="69"/>
      <c r="ACV56" s="69"/>
      <c r="ACW56" s="69"/>
      <c r="ACX56" s="69"/>
      <c r="ACY56" s="69"/>
      <c r="ACZ56" s="69"/>
      <c r="ADA56" s="69"/>
      <c r="ADB56" s="69"/>
      <c r="ADC56" s="69"/>
      <c r="ADD56" s="69"/>
      <c r="ADE56" s="69"/>
      <c r="ADF56" s="69"/>
      <c r="ADG56" s="69"/>
      <c r="ADH56" s="69"/>
      <c r="ADI56" s="69"/>
      <c r="ADJ56" s="69"/>
      <c r="ADK56" s="69"/>
      <c r="ADL56" s="69"/>
      <c r="ADM56" s="69"/>
      <c r="ADN56" s="69"/>
      <c r="ADO56" s="69"/>
      <c r="ADP56" s="69"/>
      <c r="ADQ56" s="69"/>
      <c r="ADR56" s="69"/>
      <c r="ADS56" s="69"/>
      <c r="ADT56" s="69"/>
      <c r="ADU56" s="69"/>
      <c r="ADV56" s="69"/>
      <c r="ADW56" s="69"/>
      <c r="ADX56" s="69"/>
      <c r="ADY56" s="69"/>
      <c r="ADZ56" s="69"/>
      <c r="AEA56" s="69"/>
      <c r="AEB56" s="69"/>
      <c r="AEC56" s="69"/>
      <c r="AED56" s="69"/>
      <c r="AEE56" s="69"/>
      <c r="AEF56" s="69"/>
      <c r="AEG56" s="69"/>
      <c r="AEH56" s="69"/>
      <c r="AEI56" s="69"/>
      <c r="AEJ56" s="69"/>
      <c r="AEK56" s="69"/>
      <c r="AEL56" s="69"/>
      <c r="AEM56" s="69"/>
      <c r="AEN56" s="69"/>
      <c r="AEO56" s="69"/>
      <c r="AEP56" s="69"/>
      <c r="AEQ56" s="69"/>
      <c r="AER56" s="69"/>
      <c r="AES56" s="69"/>
      <c r="AET56" s="69"/>
      <c r="AEU56" s="69"/>
      <c r="AEV56" s="69"/>
      <c r="AEW56" s="69"/>
      <c r="AEX56" s="69"/>
      <c r="AEY56" s="69"/>
      <c r="AEZ56" s="69"/>
      <c r="AFA56" s="69"/>
      <c r="AFB56" s="69"/>
      <c r="AFC56" s="69"/>
      <c r="AFD56" s="69"/>
      <c r="AFE56" s="69"/>
      <c r="AFF56" s="69"/>
      <c r="AFG56" s="69"/>
      <c r="AFH56" s="69"/>
      <c r="AFI56" s="69"/>
      <c r="AFJ56" s="69"/>
      <c r="AFK56" s="69"/>
      <c r="AFL56" s="69"/>
      <c r="AFM56" s="69"/>
      <c r="AFN56" s="69"/>
      <c r="AFO56" s="69"/>
      <c r="AFP56" s="69"/>
      <c r="AFQ56" s="69"/>
      <c r="AFR56" s="69"/>
      <c r="AFS56" s="69"/>
      <c r="AFT56" s="69"/>
      <c r="AFU56" s="69"/>
      <c r="AFV56" s="69"/>
      <c r="AFW56" s="69"/>
      <c r="AFX56" s="69"/>
      <c r="AFY56" s="69"/>
      <c r="AFZ56" s="69"/>
      <c r="AGA56" s="69"/>
      <c r="AGB56" s="69"/>
      <c r="AGC56" s="69"/>
      <c r="AGD56" s="69"/>
      <c r="AGE56" s="69"/>
      <c r="AGF56" s="69"/>
      <c r="AGG56" s="69"/>
      <c r="AGH56" s="69"/>
      <c r="AGI56" s="69"/>
      <c r="AGJ56" s="69"/>
      <c r="AGK56" s="69"/>
      <c r="AGL56" s="69"/>
      <c r="AGM56" s="69"/>
      <c r="AGN56" s="69"/>
      <c r="AGO56" s="69"/>
      <c r="AGP56" s="69"/>
      <c r="AGQ56" s="69"/>
      <c r="AGR56" s="69"/>
      <c r="AGS56" s="69"/>
      <c r="AGT56" s="69"/>
      <c r="AGU56" s="69"/>
      <c r="AGV56" s="69"/>
      <c r="AGW56" s="69"/>
      <c r="AGX56" s="69"/>
      <c r="AGY56" s="69"/>
      <c r="AGZ56" s="69"/>
      <c r="AHA56" s="69"/>
      <c r="AHB56" s="69"/>
      <c r="AHC56" s="69"/>
      <c r="AHD56" s="69"/>
      <c r="AHE56" s="69"/>
      <c r="AHF56" s="69"/>
      <c r="AHG56" s="69"/>
      <c r="AHH56" s="69"/>
      <c r="AHI56" s="69"/>
      <c r="AHJ56" s="69"/>
      <c r="AHK56" s="69"/>
      <c r="AHL56" s="69"/>
      <c r="AHM56" s="69"/>
      <c r="AHN56" s="69"/>
      <c r="AHO56" s="69"/>
      <c r="AHP56" s="69"/>
      <c r="AHQ56" s="69"/>
      <c r="AHR56" s="69"/>
      <c r="AHS56" s="69"/>
      <c r="AHT56" s="69"/>
      <c r="AHU56" s="69"/>
      <c r="AHV56" s="69"/>
      <c r="AHW56" s="69"/>
      <c r="AHX56" s="69"/>
      <c r="AHY56" s="69"/>
      <c r="AHZ56" s="69"/>
      <c r="AIA56" s="69"/>
      <c r="AIB56" s="69"/>
      <c r="AIC56" s="69"/>
      <c r="AID56" s="69"/>
      <c r="AIE56" s="69"/>
      <c r="AIF56" s="69"/>
      <c r="AIG56" s="69"/>
      <c r="AIH56" s="69"/>
      <c r="AII56" s="69"/>
      <c r="AIJ56" s="69"/>
      <c r="AIK56" s="69"/>
      <c r="AIL56" s="69"/>
      <c r="AIM56" s="69"/>
      <c r="AIN56" s="69"/>
      <c r="AIO56" s="69"/>
      <c r="AIP56" s="69"/>
      <c r="AIQ56" s="69"/>
      <c r="AIR56" s="69"/>
      <c r="AIS56" s="69"/>
      <c r="AIT56" s="69"/>
      <c r="AIU56" s="69"/>
      <c r="AIV56" s="69"/>
      <c r="AIW56" s="69"/>
      <c r="AIX56" s="69"/>
      <c r="AIY56" s="69"/>
      <c r="AIZ56" s="69"/>
      <c r="AJA56" s="69"/>
      <c r="AJB56" s="69"/>
      <c r="AJC56" s="69"/>
      <c r="AJD56" s="69"/>
      <c r="AJE56" s="69"/>
      <c r="AJF56" s="69"/>
      <c r="AJG56" s="69"/>
      <c r="AJH56" s="69"/>
      <c r="AJI56" s="69"/>
      <c r="AJJ56" s="69"/>
      <c r="AJK56" s="69"/>
      <c r="AJL56" s="69"/>
      <c r="AJM56" s="69"/>
      <c r="AJN56" s="69"/>
      <c r="AJO56" s="69"/>
      <c r="AJP56" s="69"/>
      <c r="AJQ56" s="69"/>
      <c r="AJR56" s="69"/>
      <c r="AJS56" s="69"/>
      <c r="AJT56" s="69"/>
      <c r="AJU56" s="69"/>
      <c r="AJV56" s="69"/>
      <c r="AJW56" s="69"/>
      <c r="AJX56" s="69"/>
      <c r="AJY56" s="69"/>
      <c r="AJZ56" s="69"/>
      <c r="AKA56" s="69"/>
      <c r="AKB56" s="69"/>
      <c r="AKC56" s="69"/>
      <c r="AKD56" s="69"/>
      <c r="AKE56" s="69"/>
      <c r="AKF56" s="69"/>
      <c r="AKG56" s="69"/>
      <c r="AKH56" s="69"/>
      <c r="AKI56" s="69"/>
      <c r="AKJ56" s="69"/>
      <c r="AKK56" s="69"/>
      <c r="AKL56" s="69"/>
      <c r="AKM56" s="69"/>
      <c r="AKN56" s="69"/>
      <c r="AKO56" s="69"/>
      <c r="AKP56" s="69"/>
      <c r="AKQ56" s="69"/>
      <c r="AKR56" s="69"/>
      <c r="AKS56" s="69"/>
      <c r="AKT56" s="69"/>
      <c r="AKU56" s="69"/>
      <c r="AKV56" s="69"/>
      <c r="AKW56" s="69"/>
      <c r="AKX56" s="69"/>
      <c r="AKY56" s="69"/>
      <c r="AKZ56" s="69"/>
      <c r="ALA56" s="69"/>
      <c r="ALB56" s="69"/>
      <c r="ALC56" s="69"/>
      <c r="ALD56" s="69"/>
      <c r="ALE56" s="69"/>
      <c r="ALF56" s="69"/>
      <c r="ALG56" s="69"/>
      <c r="ALH56" s="69"/>
      <c r="ALI56" s="69"/>
      <c r="ALJ56" s="69"/>
      <c r="ALK56" s="69"/>
      <c r="ALL56" s="69"/>
      <c r="ALM56" s="69"/>
      <c r="ALN56" s="69"/>
      <c r="ALO56" s="69"/>
      <c r="ALP56" s="69"/>
      <c r="ALQ56" s="69"/>
      <c r="ALR56" s="69"/>
      <c r="ALS56" s="69"/>
      <c r="ALT56" s="69"/>
      <c r="ALU56" s="69"/>
      <c r="ALV56" s="69"/>
      <c r="ALW56" s="69"/>
      <c r="ALX56" s="69"/>
      <c r="ALY56" s="69"/>
      <c r="ALZ56" s="69"/>
      <c r="AMA56" s="69"/>
      <c r="AMB56" s="69"/>
      <c r="AMC56" s="69"/>
      <c r="AMD56" s="69"/>
      <c r="AME56" s="69"/>
      <c r="AMF56" s="69"/>
      <c r="AMG56" s="69"/>
      <c r="AMH56" s="69"/>
      <c r="AMI56" s="69"/>
      <c r="AMJ56" s="69"/>
    </row>
    <row r="57" customFormat="false" ht="17.25" hidden="false" customHeight="false" outlineLevel="0" collapsed="false">
      <c r="A57" s="35"/>
      <c r="B57" s="36"/>
      <c r="C57" s="37"/>
      <c r="D57" s="38"/>
      <c r="E57" s="39"/>
      <c r="F57" s="37"/>
      <c r="G57" s="40"/>
      <c r="H57" s="4"/>
      <c r="I57" s="4"/>
      <c r="J57" s="4"/>
      <c r="K57" s="42" t="s">
        <v>130</v>
      </c>
      <c r="L57" s="42" t="s">
        <v>131</v>
      </c>
      <c r="M57" s="4"/>
      <c r="N57" s="4"/>
      <c r="O57" s="4"/>
      <c r="P57" s="4"/>
      <c r="Q57" s="4"/>
    </row>
    <row r="58" customFormat="false" ht="25.5" hidden="false" customHeight="true" outlineLevel="0" collapsed="false">
      <c r="A58" s="28" t="s">
        <v>167</v>
      </c>
      <c r="B58" s="28"/>
      <c r="C58" s="28"/>
      <c r="D58" s="28"/>
      <c r="E58" s="28"/>
      <c r="F58" s="28"/>
      <c r="G58" s="28"/>
      <c r="H58" s="7"/>
      <c r="I58" s="7"/>
      <c r="J58" s="7"/>
      <c r="K58" s="42" t="n">
        <v>39</v>
      </c>
      <c r="L58" s="42" t="n">
        <f aca="false">I63*J63*K58</f>
        <v>39</v>
      </c>
      <c r="M58" s="4"/>
      <c r="N58" s="4"/>
      <c r="O58" s="4"/>
      <c r="P58" s="4"/>
      <c r="Q58" s="4"/>
    </row>
    <row r="59" customFormat="false" ht="29.85" hidden="false" customHeight="false" outlineLevel="0" collapsed="false">
      <c r="A59" s="22" t="s">
        <v>168</v>
      </c>
      <c r="B59" s="22" t="s">
        <v>169</v>
      </c>
      <c r="C59" s="24" t="s">
        <v>25</v>
      </c>
      <c r="D59" s="30" t="s">
        <v>170</v>
      </c>
      <c r="E59" s="26" t="s">
        <v>171</v>
      </c>
      <c r="F59" s="24" t="s">
        <v>13</v>
      </c>
      <c r="G59" s="27" t="n">
        <f aca="false">30/1.5</f>
        <v>20</v>
      </c>
      <c r="H59" s="7"/>
      <c r="I59" s="7"/>
      <c r="J59" s="7"/>
      <c r="K59" s="56"/>
      <c r="L59" s="42" t="s">
        <v>130</v>
      </c>
      <c r="M59" s="4"/>
      <c r="N59" s="4"/>
      <c r="O59" s="4"/>
      <c r="P59" s="4"/>
      <c r="Q59" s="4"/>
    </row>
    <row r="60" customFormat="false" ht="17.25" hidden="false" customHeight="false" outlineLevel="0" collapsed="false">
      <c r="A60" s="22"/>
      <c r="B60" s="22"/>
      <c r="C60" s="24"/>
      <c r="D60" s="30"/>
      <c r="E60" s="26"/>
      <c r="F60" s="24"/>
      <c r="G60" s="27"/>
      <c r="H60" s="7"/>
      <c r="I60" s="42" t="s">
        <v>172</v>
      </c>
      <c r="J60" s="42" t="s">
        <v>90</v>
      </c>
      <c r="K60" s="42" t="n">
        <v>39</v>
      </c>
      <c r="L60" s="42" t="n">
        <f aca="false">I65*J65*K60</f>
        <v>117</v>
      </c>
      <c r="M60" s="4"/>
      <c r="N60" s="4"/>
      <c r="O60" s="4"/>
      <c r="P60" s="4"/>
      <c r="Q60" s="4"/>
    </row>
    <row r="61" customFormat="false" ht="29.85" hidden="false" customHeight="false" outlineLevel="0" collapsed="false">
      <c r="A61" s="22" t="s">
        <v>173</v>
      </c>
      <c r="B61" s="22" t="s">
        <v>174</v>
      </c>
      <c r="C61" s="24" t="s">
        <v>25</v>
      </c>
      <c r="D61" s="30" t="s">
        <v>175</v>
      </c>
      <c r="E61" s="26" t="s">
        <v>171</v>
      </c>
      <c r="F61" s="24" t="s">
        <v>13</v>
      </c>
      <c r="G61" s="27" t="n">
        <f aca="false">30/1.5</f>
        <v>20</v>
      </c>
      <c r="H61" s="7"/>
      <c r="I61" s="42" t="n">
        <v>2</v>
      </c>
      <c r="J61" s="42" t="n">
        <v>0.5</v>
      </c>
      <c r="K61" s="7"/>
      <c r="L61" s="7"/>
      <c r="M61" s="7"/>
      <c r="N61" s="7"/>
      <c r="O61" s="7"/>
      <c r="P61" s="7"/>
      <c r="Q61" s="7"/>
    </row>
    <row r="62" customFormat="false" ht="17.25" hidden="false" customHeight="false" outlineLevel="0" collapsed="false">
      <c r="A62" s="22"/>
      <c r="B62" s="22"/>
      <c r="C62" s="24"/>
      <c r="D62" s="30"/>
      <c r="E62" s="26"/>
      <c r="F62" s="24"/>
      <c r="G62" s="27"/>
      <c r="H62" s="4"/>
      <c r="I62" s="42" t="s">
        <v>172</v>
      </c>
      <c r="J62" s="42" t="s">
        <v>90</v>
      </c>
      <c r="K62" s="56"/>
      <c r="L62" s="42" t="s">
        <v>130</v>
      </c>
      <c r="M62" s="4"/>
      <c r="N62" s="4"/>
      <c r="O62" s="4"/>
      <c r="P62" s="4"/>
      <c r="Q62" s="4"/>
    </row>
    <row r="63" customFormat="false" ht="29.85" hidden="false" customHeight="false" outlineLevel="0" collapsed="false">
      <c r="A63" s="22" t="s">
        <v>176</v>
      </c>
      <c r="B63" s="22" t="s">
        <v>177</v>
      </c>
      <c r="C63" s="24" t="s">
        <v>10</v>
      </c>
      <c r="D63" s="30" t="s">
        <v>178</v>
      </c>
      <c r="E63" s="26" t="s">
        <v>13</v>
      </c>
      <c r="F63" s="24" t="s">
        <v>13</v>
      </c>
      <c r="G63" s="27" t="n">
        <v>40</v>
      </c>
      <c r="H63" s="4"/>
      <c r="I63" s="42" t="n">
        <v>2</v>
      </c>
      <c r="J63" s="42" t="n">
        <v>0.5</v>
      </c>
      <c r="K63" s="42" t="n">
        <v>39</v>
      </c>
      <c r="L63" s="42" t="n">
        <f aca="false">I68*J68*K63</f>
        <v>156</v>
      </c>
      <c r="M63" s="4"/>
      <c r="N63" s="4"/>
      <c r="O63" s="4"/>
      <c r="P63" s="4"/>
      <c r="Q63" s="4"/>
    </row>
    <row r="64" customFormat="false" ht="17.25" hidden="false" customHeight="false" outlineLevel="0" collapsed="false">
      <c r="A64" s="22"/>
      <c r="B64" s="22"/>
      <c r="C64" s="24"/>
      <c r="D64" s="30"/>
      <c r="E64" s="26"/>
      <c r="F64" s="24"/>
      <c r="G64" s="27"/>
      <c r="H64" s="4"/>
      <c r="I64" s="42" t="s">
        <v>172</v>
      </c>
      <c r="J64" s="42" t="s">
        <v>90</v>
      </c>
      <c r="K64" s="56"/>
      <c r="L64" s="42" t="s">
        <v>130</v>
      </c>
      <c r="M64" s="4"/>
      <c r="N64" s="4"/>
      <c r="O64" s="4"/>
      <c r="P64" s="4"/>
      <c r="Q64" s="4"/>
    </row>
    <row r="65" customFormat="false" ht="29.85" hidden="false" customHeight="false" outlineLevel="0" collapsed="false">
      <c r="A65" s="22" t="s">
        <v>179</v>
      </c>
      <c r="B65" s="22" t="s">
        <v>180</v>
      </c>
      <c r="C65" s="24" t="s">
        <v>10</v>
      </c>
      <c r="D65" s="30" t="s">
        <v>181</v>
      </c>
      <c r="E65" s="26" t="s">
        <v>182</v>
      </c>
      <c r="F65" s="24" t="s">
        <v>13</v>
      </c>
      <c r="G65" s="27" t="n">
        <v>120</v>
      </c>
      <c r="H65" s="4"/>
      <c r="I65" s="42" t="n">
        <v>2</v>
      </c>
      <c r="J65" s="42" t="n">
        <v>1.5</v>
      </c>
      <c r="K65" s="42" t="n">
        <v>39</v>
      </c>
      <c r="L65" s="42" t="n">
        <f aca="false">I70*J70*K65</f>
        <v>15.6</v>
      </c>
      <c r="M65" s="4"/>
      <c r="N65" s="4"/>
      <c r="O65" s="4"/>
      <c r="P65" s="4"/>
      <c r="Q65" s="4"/>
    </row>
    <row r="66" customFormat="false" ht="24.45" hidden="false" customHeight="true" outlineLevel="0" collapsed="false">
      <c r="A66" s="28" t="s">
        <v>183</v>
      </c>
      <c r="B66" s="28"/>
      <c r="C66" s="28"/>
      <c r="D66" s="28"/>
      <c r="E66" s="28"/>
      <c r="F66" s="28"/>
      <c r="G66" s="28"/>
      <c r="H66" s="7"/>
      <c r="I66" s="7"/>
      <c r="J66" s="7"/>
      <c r="K66" s="7"/>
      <c r="L66" s="7"/>
      <c r="M66" s="7"/>
      <c r="N66" s="7"/>
      <c r="O66" s="7"/>
      <c r="P66" s="7"/>
      <c r="Q66" s="7"/>
    </row>
    <row r="67" customFormat="false" ht="44" hidden="false" customHeight="false" outlineLevel="0" collapsed="false">
      <c r="A67" s="22" t="s">
        <v>184</v>
      </c>
      <c r="B67" s="22" t="s">
        <v>185</v>
      </c>
      <c r="C67" s="24" t="s">
        <v>10</v>
      </c>
      <c r="D67" s="30" t="s">
        <v>186</v>
      </c>
      <c r="E67" s="26" t="s">
        <v>13</v>
      </c>
      <c r="F67" s="24" t="s">
        <v>13</v>
      </c>
      <c r="G67" s="27" t="n">
        <v>156</v>
      </c>
      <c r="H67" s="4"/>
      <c r="I67" s="42" t="s">
        <v>172</v>
      </c>
      <c r="J67" s="42" t="s">
        <v>90</v>
      </c>
      <c r="K67" s="7"/>
      <c r="L67" s="7"/>
      <c r="M67" s="7"/>
      <c r="N67" s="7"/>
      <c r="O67" s="7"/>
      <c r="P67" s="7"/>
      <c r="Q67" s="7"/>
    </row>
    <row r="68" s="10" customFormat="true" ht="24.45" hidden="false" customHeight="false" outlineLevel="0" collapsed="false">
      <c r="A68" s="22"/>
      <c r="B68" s="22"/>
      <c r="C68" s="24"/>
      <c r="D68" s="30"/>
      <c r="E68" s="26"/>
      <c r="F68" s="24"/>
      <c r="G68" s="27"/>
      <c r="H68" s="4"/>
      <c r="I68" s="42" t="n">
        <v>2</v>
      </c>
      <c r="J68" s="42" t="n">
        <v>2</v>
      </c>
      <c r="K68" s="9"/>
      <c r="L68" s="9"/>
      <c r="M68" s="9"/>
      <c r="N68" s="9"/>
      <c r="O68" s="9"/>
      <c r="P68" s="9"/>
      <c r="Q68" s="9"/>
    </row>
    <row r="69" customFormat="false" ht="29.85" hidden="false" customHeight="false" outlineLevel="0" collapsed="false">
      <c r="A69" s="22" t="s">
        <v>187</v>
      </c>
      <c r="B69" s="22" t="s">
        <v>188</v>
      </c>
      <c r="C69" s="24" t="s">
        <v>25</v>
      </c>
      <c r="D69" s="30" t="s">
        <v>189</v>
      </c>
      <c r="E69" s="26" t="s">
        <v>13</v>
      </c>
      <c r="F69" s="24" t="s">
        <v>13</v>
      </c>
      <c r="G69" s="27" t="n">
        <v>20</v>
      </c>
      <c r="H69" s="4"/>
      <c r="I69" s="42" t="s">
        <v>172</v>
      </c>
      <c r="J69" s="42" t="s">
        <v>90</v>
      </c>
      <c r="K69" s="7"/>
      <c r="L69" s="7"/>
      <c r="M69" s="7"/>
      <c r="N69" s="7"/>
      <c r="O69" s="7"/>
      <c r="P69" s="7"/>
      <c r="Q69" s="7"/>
    </row>
    <row r="70" customFormat="false" ht="17.25" hidden="false" customHeight="false" outlineLevel="0" collapsed="false">
      <c r="A70" s="76"/>
      <c r="B70" s="77"/>
      <c r="C70" s="78"/>
      <c r="D70" s="79"/>
      <c r="E70" s="80"/>
      <c r="F70" s="78"/>
      <c r="G70" s="6"/>
      <c r="H70" s="4"/>
      <c r="I70" s="42" t="n">
        <v>2</v>
      </c>
      <c r="J70" s="42" t="n">
        <v>0.2</v>
      </c>
      <c r="K70" s="7"/>
      <c r="L70" s="7"/>
      <c r="M70" s="7"/>
      <c r="N70" s="7"/>
      <c r="O70" s="7"/>
      <c r="P70" s="7"/>
      <c r="Q70" s="7"/>
    </row>
    <row r="71" customFormat="false" ht="17.25" hidden="false" customHeight="false" outlineLevel="0" collapsed="false">
      <c r="A71" s="7"/>
      <c r="B71" s="7"/>
      <c r="C71" s="7"/>
      <c r="D71" s="7"/>
      <c r="E71" s="7"/>
      <c r="F71" s="7"/>
      <c r="G71" s="7"/>
      <c r="H71" s="7"/>
      <c r="I71" s="7"/>
      <c r="J71" s="7"/>
      <c r="K71" s="7"/>
      <c r="L71" s="7"/>
      <c r="M71" s="7"/>
      <c r="N71" s="7"/>
      <c r="O71" s="7"/>
      <c r="P71" s="7"/>
      <c r="Q71" s="7"/>
    </row>
    <row r="72" customFormat="false" ht="17.25" hidden="false" customHeight="false" outlineLevel="0" collapsed="false">
      <c r="A72" s="7"/>
      <c r="B72" s="7"/>
      <c r="C72" s="7"/>
      <c r="D72" s="7"/>
      <c r="E72" s="7"/>
      <c r="F72" s="7"/>
      <c r="G72" s="7"/>
      <c r="H72" s="7"/>
      <c r="I72" s="7"/>
      <c r="J72" s="7"/>
      <c r="K72" s="7"/>
      <c r="L72" s="7"/>
      <c r="M72" s="7"/>
      <c r="N72" s="7"/>
      <c r="O72" s="7"/>
      <c r="P72" s="7"/>
      <c r="Q72" s="7"/>
    </row>
    <row r="73" customFormat="false" ht="24.45" hidden="false" customHeight="false" outlineLevel="0" collapsed="false">
      <c r="A73" s="81" t="s">
        <v>190</v>
      </c>
      <c r="B73" s="81"/>
      <c r="C73" s="81"/>
      <c r="D73" s="81"/>
      <c r="E73" s="81"/>
      <c r="F73" s="81"/>
      <c r="G73" s="81"/>
      <c r="H73" s="9"/>
      <c r="I73" s="9"/>
      <c r="J73" s="9"/>
      <c r="K73" s="7"/>
      <c r="L73" s="7"/>
      <c r="M73" s="7"/>
      <c r="N73" s="7"/>
      <c r="O73" s="7"/>
      <c r="P73" s="7"/>
      <c r="Q73" s="7"/>
    </row>
    <row r="74" customFormat="false" ht="29.85" hidden="false" customHeight="false" outlineLevel="0" collapsed="false">
      <c r="A74" s="82" t="s">
        <v>1</v>
      </c>
      <c r="B74" s="83" t="s">
        <v>2</v>
      </c>
      <c r="C74" s="83" t="s">
        <v>3</v>
      </c>
      <c r="D74" s="84" t="s">
        <v>4</v>
      </c>
      <c r="E74" s="83" t="s">
        <v>5</v>
      </c>
      <c r="F74" s="83" t="s">
        <v>6</v>
      </c>
      <c r="G74" s="85" t="s">
        <v>7</v>
      </c>
      <c r="H74" s="7"/>
      <c r="I74" s="7"/>
      <c r="J74" s="7"/>
      <c r="K74" s="7"/>
      <c r="L74" s="7"/>
      <c r="M74" s="7"/>
      <c r="N74" s="7"/>
      <c r="O74" s="7"/>
      <c r="P74" s="7"/>
      <c r="Q74" s="7"/>
    </row>
    <row r="75" customFormat="false" ht="44" hidden="false" customHeight="false" outlineLevel="0" collapsed="false">
      <c r="A75" s="86" t="s">
        <v>191</v>
      </c>
      <c r="B75" s="87" t="s">
        <v>192</v>
      </c>
      <c r="C75" s="88" t="s">
        <v>18</v>
      </c>
      <c r="D75" s="89" t="s">
        <v>193</v>
      </c>
      <c r="E75" s="88" t="s">
        <v>194</v>
      </c>
      <c r="F75" s="88" t="s">
        <v>13</v>
      </c>
      <c r="G75" s="90" t="n">
        <f aca="false">66/0.75</f>
        <v>88</v>
      </c>
      <c r="H75" s="7"/>
      <c r="I75" s="7"/>
      <c r="J75" s="7"/>
      <c r="K75" s="7"/>
      <c r="L75" s="7"/>
      <c r="M75" s="7"/>
      <c r="N75" s="7"/>
      <c r="O75" s="7"/>
      <c r="P75" s="7"/>
      <c r="Q75" s="7"/>
    </row>
    <row r="76" customFormat="false" ht="44" hidden="false" customHeight="false" outlineLevel="0" collapsed="false">
      <c r="A76" s="86" t="s">
        <v>195</v>
      </c>
      <c r="B76" s="87" t="s">
        <v>192</v>
      </c>
      <c r="C76" s="88" t="s">
        <v>18</v>
      </c>
      <c r="D76" s="89" t="s">
        <v>196</v>
      </c>
      <c r="E76" s="88" t="s">
        <v>194</v>
      </c>
      <c r="F76" s="88" t="s">
        <v>13</v>
      </c>
      <c r="G76" s="90" t="n">
        <f aca="false">66/0.75</f>
        <v>88</v>
      </c>
      <c r="H76" s="7"/>
      <c r="I76" s="7"/>
      <c r="J76" s="7"/>
      <c r="K76" s="7"/>
      <c r="L76" s="7"/>
      <c r="M76" s="7"/>
      <c r="N76" s="7"/>
      <c r="O76" s="7"/>
      <c r="P76" s="7"/>
      <c r="Q76" s="7"/>
    </row>
    <row r="77" customFormat="false" ht="44" hidden="false" customHeight="false" outlineLevel="0" collapsed="false">
      <c r="A77" s="86" t="s">
        <v>197</v>
      </c>
      <c r="B77" s="87" t="s">
        <v>198</v>
      </c>
      <c r="C77" s="88" t="s">
        <v>18</v>
      </c>
      <c r="D77" s="91" t="s">
        <v>199</v>
      </c>
      <c r="E77" s="88" t="s">
        <v>194</v>
      </c>
      <c r="F77" s="88" t="s">
        <v>13</v>
      </c>
      <c r="G77" s="90" t="n">
        <f aca="false">79/0.75</f>
        <v>105.333333333333</v>
      </c>
      <c r="H77" s="7"/>
      <c r="I77" s="7"/>
      <c r="J77" s="7"/>
      <c r="K77" s="7"/>
      <c r="L77" s="7"/>
      <c r="M77" s="7"/>
      <c r="N77" s="7"/>
      <c r="O77" s="7"/>
      <c r="P77" s="7"/>
      <c r="Q77" s="7"/>
    </row>
    <row r="78" customFormat="false" ht="44" hidden="false" customHeight="false" outlineLevel="0" collapsed="false">
      <c r="A78" s="86" t="s">
        <v>200</v>
      </c>
      <c r="B78" s="87" t="s">
        <v>198</v>
      </c>
      <c r="C78" s="88" t="s">
        <v>10</v>
      </c>
      <c r="D78" s="91" t="s">
        <v>201</v>
      </c>
      <c r="E78" s="88" t="s">
        <v>202</v>
      </c>
      <c r="F78" s="88" t="s">
        <v>13</v>
      </c>
      <c r="G78" s="90" t="n">
        <v>20</v>
      </c>
      <c r="H78" s="7"/>
      <c r="I78" s="7"/>
      <c r="J78" s="7"/>
      <c r="K78" s="7"/>
      <c r="L78" s="7"/>
      <c r="M78" s="7"/>
      <c r="N78" s="7"/>
      <c r="O78" s="7"/>
      <c r="P78" s="7"/>
      <c r="Q78" s="7"/>
    </row>
    <row r="79" customFormat="false" ht="17.25" hidden="false" customHeight="false" outlineLevel="0" collapsed="false">
      <c r="A79" s="92" t="s">
        <v>203</v>
      </c>
      <c r="B79" s="87"/>
      <c r="C79" s="88"/>
      <c r="D79" s="93" t="s">
        <v>204</v>
      </c>
      <c r="E79" s="88" t="s">
        <v>13</v>
      </c>
      <c r="F79" s="88" t="s">
        <v>13</v>
      </c>
      <c r="G79" s="90"/>
      <c r="H79" s="7"/>
      <c r="I79" s="7"/>
      <c r="J79" s="7"/>
      <c r="K79" s="7"/>
      <c r="L79" s="7"/>
      <c r="M79" s="7"/>
      <c r="N79" s="7"/>
      <c r="O79" s="7"/>
      <c r="P79" s="7"/>
      <c r="Q79" s="7"/>
    </row>
    <row r="80" customFormat="false" ht="29.85" hidden="false" customHeight="false" outlineLevel="0" collapsed="false">
      <c r="A80" s="86" t="s">
        <v>205</v>
      </c>
      <c r="B80" s="87" t="s">
        <v>206</v>
      </c>
      <c r="C80" s="88" t="s">
        <v>18</v>
      </c>
      <c r="D80" s="94" t="s">
        <v>207</v>
      </c>
      <c r="E80" s="88" t="s">
        <v>194</v>
      </c>
      <c r="F80" s="88" t="s">
        <v>13</v>
      </c>
      <c r="G80" s="90" t="n">
        <f aca="false">69/0.75</f>
        <v>92</v>
      </c>
      <c r="H80" s="7"/>
      <c r="I80" s="7"/>
      <c r="J80" s="7"/>
      <c r="K80" s="7"/>
      <c r="L80" s="7"/>
      <c r="M80" s="7"/>
      <c r="N80" s="7"/>
      <c r="O80" s="7"/>
      <c r="P80" s="7"/>
      <c r="Q80" s="7"/>
    </row>
    <row r="81" customFormat="false" ht="29.85" hidden="false" customHeight="false" outlineLevel="0" collapsed="false">
      <c r="A81" s="86" t="s">
        <v>208</v>
      </c>
      <c r="B81" s="87" t="s">
        <v>209</v>
      </c>
      <c r="C81" s="88" t="s">
        <v>18</v>
      </c>
      <c r="D81" s="89" t="s">
        <v>210</v>
      </c>
      <c r="E81" s="88" t="s">
        <v>194</v>
      </c>
      <c r="F81" s="88" t="s">
        <v>13</v>
      </c>
      <c r="G81" s="90" t="n">
        <f aca="false">102.13/0.75</f>
        <v>136.173333333333</v>
      </c>
      <c r="H81" s="7"/>
      <c r="I81" s="7"/>
      <c r="J81" s="7"/>
      <c r="K81" s="7"/>
      <c r="L81" s="7"/>
      <c r="M81" s="7"/>
      <c r="N81" s="7"/>
      <c r="O81" s="7"/>
      <c r="P81" s="7"/>
      <c r="Q81" s="7"/>
    </row>
    <row r="82" customFormat="false" ht="17.25" hidden="false" customHeight="false" outlineLevel="0" collapsed="false">
      <c r="A82" s="86" t="s">
        <v>211</v>
      </c>
      <c r="B82" s="87" t="s">
        <v>212</v>
      </c>
      <c r="C82" s="88" t="s">
        <v>18</v>
      </c>
      <c r="D82" s="89" t="s">
        <v>213</v>
      </c>
      <c r="E82" s="88" t="s">
        <v>194</v>
      </c>
      <c r="F82" s="88" t="s">
        <v>13</v>
      </c>
      <c r="G82" s="90" t="n">
        <f aca="false">126/0.75</f>
        <v>168</v>
      </c>
      <c r="H82" s="7"/>
      <c r="I82" s="7"/>
      <c r="J82" s="7"/>
      <c r="K82" s="7"/>
      <c r="L82" s="7"/>
      <c r="M82" s="7"/>
      <c r="N82" s="7"/>
      <c r="O82" s="7"/>
      <c r="P82" s="7"/>
      <c r="Q82" s="7"/>
    </row>
    <row r="83" customFormat="false" ht="29.85" hidden="false" customHeight="false" outlineLevel="0" collapsed="false">
      <c r="A83" s="86" t="s">
        <v>214</v>
      </c>
      <c r="B83" s="87" t="s">
        <v>215</v>
      </c>
      <c r="C83" s="88" t="s">
        <v>10</v>
      </c>
      <c r="D83" s="91" t="s">
        <v>216</v>
      </c>
      <c r="E83" s="88" t="s">
        <v>217</v>
      </c>
      <c r="F83" s="88" t="s">
        <v>13</v>
      </c>
      <c r="G83" s="90" t="n">
        <v>16</v>
      </c>
      <c r="H83" s="7"/>
      <c r="I83" s="7"/>
      <c r="J83" s="7"/>
      <c r="K83" s="4"/>
      <c r="L83" s="4"/>
      <c r="M83" s="4"/>
      <c r="N83" s="4"/>
      <c r="O83" s="4"/>
      <c r="P83" s="4"/>
      <c r="Q83" s="4"/>
    </row>
    <row r="84" customFormat="false" ht="29.85" hidden="false" customHeight="false" outlineLevel="0" collapsed="false">
      <c r="A84" s="86" t="s">
        <v>218</v>
      </c>
      <c r="B84" s="87" t="s">
        <v>219</v>
      </c>
      <c r="C84" s="88" t="s">
        <v>18</v>
      </c>
      <c r="D84" s="91" t="s">
        <v>220</v>
      </c>
      <c r="E84" s="88" t="s">
        <v>194</v>
      </c>
      <c r="F84" s="88" t="s">
        <v>13</v>
      </c>
      <c r="G84" s="90" t="n">
        <f aca="false">86/0.75</f>
        <v>114.666666666667</v>
      </c>
      <c r="H84" s="7"/>
      <c r="I84" s="7"/>
      <c r="J84" s="7"/>
      <c r="K84" s="4"/>
      <c r="L84" s="4"/>
      <c r="M84" s="4"/>
      <c r="N84" s="4"/>
      <c r="O84" s="4"/>
      <c r="P84" s="4"/>
      <c r="Q84" s="4"/>
    </row>
    <row r="85" customFormat="false" ht="29.85" hidden="false" customHeight="false" outlineLevel="0" collapsed="false">
      <c r="A85" s="86" t="s">
        <v>221</v>
      </c>
      <c r="B85" s="87" t="s">
        <v>222</v>
      </c>
      <c r="C85" s="88" t="s">
        <v>18</v>
      </c>
      <c r="D85" s="91" t="s">
        <v>223</v>
      </c>
      <c r="E85" s="88" t="s">
        <v>194</v>
      </c>
      <c r="F85" s="88" t="s">
        <v>13</v>
      </c>
      <c r="G85" s="90" t="n">
        <v>65.7</v>
      </c>
      <c r="H85" s="7"/>
      <c r="I85" s="7"/>
      <c r="J85" s="7"/>
      <c r="K85" s="7"/>
      <c r="L85" s="7"/>
      <c r="M85" s="7"/>
      <c r="N85" s="7"/>
      <c r="O85" s="7"/>
      <c r="P85" s="7"/>
      <c r="Q85" s="7"/>
    </row>
    <row r="86" customFormat="false" ht="44" hidden="false" customHeight="false" outlineLevel="0" collapsed="false">
      <c r="A86" s="86" t="s">
        <v>224</v>
      </c>
      <c r="B86" s="87" t="s">
        <v>225</v>
      </c>
      <c r="C86" s="88" t="s">
        <v>31</v>
      </c>
      <c r="D86" s="91" t="s">
        <v>226</v>
      </c>
      <c r="E86" s="88" t="s">
        <v>227</v>
      </c>
      <c r="F86" s="88" t="s">
        <v>13</v>
      </c>
      <c r="G86" s="90" t="n">
        <v>42</v>
      </c>
      <c r="H86" s="7"/>
      <c r="I86" s="7"/>
      <c r="J86" s="7"/>
      <c r="K86" s="7"/>
      <c r="L86" s="7"/>
      <c r="M86" s="7"/>
      <c r="N86" s="7"/>
      <c r="O86" s="7"/>
      <c r="P86" s="7"/>
      <c r="Q86" s="7"/>
    </row>
    <row r="87" customFormat="false" ht="29.85" hidden="false" customHeight="false" outlineLevel="0" collapsed="false">
      <c r="A87" s="86" t="s">
        <v>228</v>
      </c>
      <c r="B87" s="87" t="s">
        <v>229</v>
      </c>
      <c r="C87" s="88" t="s">
        <v>31</v>
      </c>
      <c r="D87" s="91" t="s">
        <v>230</v>
      </c>
      <c r="E87" s="88" t="s">
        <v>227</v>
      </c>
      <c r="F87" s="88" t="s">
        <v>13</v>
      </c>
      <c r="G87" s="90" t="n">
        <v>97.5</v>
      </c>
      <c r="H87" s="7"/>
      <c r="I87" s="7"/>
      <c r="J87" s="7"/>
      <c r="K87" s="7"/>
      <c r="L87" s="7"/>
      <c r="M87" s="7"/>
      <c r="N87" s="7"/>
      <c r="O87" s="7"/>
      <c r="P87" s="7"/>
      <c r="Q87" s="7"/>
    </row>
    <row r="88" customFormat="false" ht="100.7" hidden="false" customHeight="false" outlineLevel="0" collapsed="false">
      <c r="A88" s="86" t="s">
        <v>231</v>
      </c>
      <c r="B88" s="87" t="s">
        <v>232</v>
      </c>
      <c r="C88" s="88" t="s">
        <v>31</v>
      </c>
      <c r="D88" s="91" t="s">
        <v>233</v>
      </c>
      <c r="E88" s="88" t="s">
        <v>227</v>
      </c>
      <c r="F88" s="88" t="s">
        <v>13</v>
      </c>
      <c r="G88" s="90" t="n">
        <v>40.98</v>
      </c>
      <c r="H88" s="4"/>
      <c r="I88" s="4"/>
      <c r="J88" s="4"/>
      <c r="K88" s="7"/>
      <c r="L88" s="7"/>
      <c r="M88" s="7"/>
      <c r="N88" s="7"/>
      <c r="O88" s="7"/>
      <c r="P88" s="7"/>
      <c r="Q88" s="7"/>
    </row>
    <row r="89" customFormat="false" ht="58.2" hidden="false" customHeight="false" outlineLevel="0" collapsed="false">
      <c r="A89" s="86" t="s">
        <v>234</v>
      </c>
      <c r="B89" s="87" t="s">
        <v>235</v>
      </c>
      <c r="C89" s="88" t="s">
        <v>10</v>
      </c>
      <c r="D89" s="91" t="s">
        <v>236</v>
      </c>
      <c r="E89" s="95"/>
      <c r="F89" s="88"/>
      <c r="G89" s="90" t="n">
        <v>1600</v>
      </c>
      <c r="H89" s="4"/>
      <c r="I89" s="4"/>
      <c r="J89" s="4"/>
      <c r="K89" s="7"/>
      <c r="L89" s="7"/>
      <c r="M89" s="7"/>
      <c r="N89" s="7"/>
      <c r="O89" s="7"/>
      <c r="P89" s="7"/>
      <c r="Q89" s="7"/>
    </row>
    <row r="90" s="10" customFormat="true" ht="24.45" hidden="false" customHeight="false" outlineLevel="0" collapsed="false">
      <c r="A90" s="7"/>
      <c r="B90" s="7"/>
      <c r="C90" s="7"/>
      <c r="D90" s="7"/>
      <c r="E90" s="7"/>
      <c r="F90" s="7"/>
      <c r="G90" s="7"/>
      <c r="H90" s="7"/>
      <c r="I90" s="7"/>
      <c r="J90" s="7"/>
      <c r="K90" s="9"/>
      <c r="L90" s="9"/>
      <c r="M90" s="9"/>
      <c r="N90" s="9"/>
      <c r="O90" s="9"/>
      <c r="P90" s="9"/>
      <c r="Q90" s="9"/>
    </row>
    <row r="91" customFormat="false" ht="17.25" hidden="false" customHeight="false" outlineLevel="0" collapsed="false">
      <c r="A91" s="7"/>
      <c r="B91" s="7"/>
      <c r="C91" s="7"/>
      <c r="D91" s="7"/>
      <c r="E91" s="7"/>
      <c r="F91" s="7"/>
      <c r="G91" s="7"/>
      <c r="H91" s="7"/>
      <c r="I91" s="7"/>
      <c r="J91" s="7"/>
      <c r="K91" s="7"/>
      <c r="L91" s="7"/>
      <c r="M91" s="7"/>
      <c r="N91" s="7"/>
      <c r="O91" s="7"/>
      <c r="P91" s="7"/>
      <c r="Q91" s="7"/>
    </row>
    <row r="92" customFormat="false" ht="17.25" hidden="false" customHeight="false" outlineLevel="0" collapsed="false">
      <c r="A92" s="7"/>
      <c r="B92" s="7"/>
      <c r="C92" s="7"/>
      <c r="D92" s="7"/>
      <c r="E92" s="7"/>
      <c r="F92" s="7"/>
      <c r="G92" s="7"/>
      <c r="H92" s="7"/>
      <c r="I92" s="7"/>
      <c r="J92" s="7"/>
      <c r="K92" s="7"/>
      <c r="L92" s="7"/>
      <c r="M92" s="7"/>
      <c r="N92" s="7"/>
      <c r="O92" s="7"/>
      <c r="P92" s="7"/>
      <c r="Q92" s="7"/>
    </row>
    <row r="93" customFormat="false" ht="17.25" hidden="false" customHeight="false" outlineLevel="0" collapsed="false">
      <c r="A93" s="7"/>
      <c r="B93" s="7"/>
      <c r="C93" s="7"/>
      <c r="D93" s="7"/>
      <c r="E93" s="7"/>
      <c r="F93" s="7"/>
      <c r="G93" s="7"/>
      <c r="H93" s="7"/>
      <c r="I93" s="7"/>
      <c r="J93" s="7"/>
      <c r="K93" s="7"/>
      <c r="L93" s="7"/>
      <c r="M93" s="7"/>
      <c r="N93" s="7"/>
      <c r="O93" s="7"/>
      <c r="P93" s="7"/>
      <c r="Q93" s="7"/>
    </row>
    <row r="94" customFormat="false" ht="17.25" hidden="false" customHeight="false" outlineLevel="0" collapsed="false">
      <c r="A94" s="7"/>
      <c r="B94" s="7"/>
      <c r="C94" s="7"/>
      <c r="D94" s="7"/>
      <c r="E94" s="7"/>
      <c r="F94" s="7"/>
      <c r="G94" s="7"/>
      <c r="H94" s="7"/>
      <c r="I94" s="7"/>
      <c r="J94" s="7"/>
      <c r="K94" s="7"/>
      <c r="L94" s="7"/>
      <c r="M94" s="7"/>
      <c r="N94" s="7"/>
      <c r="O94" s="7"/>
      <c r="P94" s="7"/>
      <c r="Q94" s="7"/>
    </row>
    <row r="95" customFormat="false" ht="24.45" hidden="false" customHeight="false" outlineLevel="0" collapsed="false">
      <c r="A95" s="96" t="s">
        <v>237</v>
      </c>
      <c r="B95" s="96"/>
      <c r="C95" s="96"/>
      <c r="D95" s="96"/>
      <c r="E95" s="96"/>
      <c r="F95" s="96"/>
      <c r="G95" s="96"/>
      <c r="H95" s="9"/>
      <c r="I95" s="9"/>
      <c r="J95" s="9"/>
      <c r="K95" s="7"/>
      <c r="L95" s="7"/>
      <c r="M95" s="7"/>
      <c r="N95" s="7"/>
      <c r="O95" s="7"/>
      <c r="P95" s="7"/>
      <c r="Q95" s="7"/>
    </row>
    <row r="96" customFormat="false" ht="29.85" hidden="false" customHeight="false" outlineLevel="0" collapsed="false">
      <c r="A96" s="97" t="s">
        <v>1</v>
      </c>
      <c r="B96" s="98" t="s">
        <v>2</v>
      </c>
      <c r="C96" s="98" t="s">
        <v>3</v>
      </c>
      <c r="D96" s="99" t="s">
        <v>4</v>
      </c>
      <c r="E96" s="98" t="s">
        <v>5</v>
      </c>
      <c r="F96" s="98" t="s">
        <v>6</v>
      </c>
      <c r="G96" s="100" t="s">
        <v>7</v>
      </c>
      <c r="H96" s="7"/>
      <c r="I96" s="7"/>
      <c r="J96" s="7"/>
      <c r="K96" s="7"/>
      <c r="L96" s="7" t="s">
        <v>238</v>
      </c>
      <c r="M96" s="7"/>
      <c r="N96" s="7"/>
      <c r="O96" s="7"/>
      <c r="P96" s="7"/>
      <c r="Q96" s="7"/>
    </row>
    <row r="97" customFormat="false" ht="72.35" hidden="false" customHeight="false" outlineLevel="0" collapsed="false">
      <c r="A97" s="101" t="s">
        <v>239</v>
      </c>
      <c r="B97" s="102" t="s">
        <v>240</v>
      </c>
      <c r="C97" s="103" t="s">
        <v>25</v>
      </c>
      <c r="D97" s="104" t="s">
        <v>241</v>
      </c>
      <c r="E97" s="103" t="s">
        <v>242</v>
      </c>
      <c r="F97" s="103" t="s">
        <v>13</v>
      </c>
      <c r="G97" s="105" t="n">
        <v>43.29</v>
      </c>
      <c r="H97" s="7"/>
      <c r="I97" s="7"/>
      <c r="J97" s="7"/>
      <c r="K97" s="7"/>
      <c r="L97" s="7"/>
      <c r="M97" s="7"/>
      <c r="N97" s="7"/>
      <c r="O97" s="7"/>
      <c r="P97" s="7"/>
      <c r="Q97" s="7"/>
    </row>
    <row r="98" customFormat="false" ht="72.35" hidden="false" customHeight="false" outlineLevel="0" collapsed="false">
      <c r="A98" s="101" t="s">
        <v>243</v>
      </c>
      <c r="B98" s="102" t="s">
        <v>244</v>
      </c>
      <c r="C98" s="103" t="s">
        <v>25</v>
      </c>
      <c r="D98" s="104" t="s">
        <v>245</v>
      </c>
      <c r="E98" s="103" t="s">
        <v>246</v>
      </c>
      <c r="F98" s="103" t="s">
        <v>13</v>
      </c>
      <c r="G98" s="105" t="n">
        <v>117.37</v>
      </c>
      <c r="H98" s="7"/>
      <c r="I98" s="7"/>
      <c r="J98" s="7"/>
      <c r="K98" s="7"/>
      <c r="L98" s="7"/>
      <c r="M98" s="7"/>
      <c r="N98" s="7"/>
      <c r="O98" s="7"/>
      <c r="P98" s="7"/>
      <c r="Q98" s="7"/>
    </row>
    <row r="99" customFormat="false" ht="58.2" hidden="false" customHeight="false" outlineLevel="0" collapsed="false">
      <c r="A99" s="101" t="s">
        <v>247</v>
      </c>
      <c r="B99" s="106" t="s">
        <v>248</v>
      </c>
      <c r="C99" s="103" t="s">
        <v>13</v>
      </c>
      <c r="D99" s="104" t="s">
        <v>249</v>
      </c>
      <c r="E99" s="103" t="s">
        <v>13</v>
      </c>
      <c r="F99" s="103" t="s">
        <v>13</v>
      </c>
      <c r="G99" s="105"/>
      <c r="H99" s="7"/>
      <c r="I99" s="7"/>
      <c r="J99" s="7"/>
      <c r="K99" s="7"/>
      <c r="L99" s="7"/>
      <c r="M99" s="7"/>
      <c r="N99" s="7"/>
      <c r="O99" s="7"/>
      <c r="P99" s="7"/>
      <c r="Q99" s="7"/>
    </row>
    <row r="100" customFormat="false" ht="58.2" hidden="false" customHeight="false" outlineLevel="0" collapsed="false">
      <c r="A100" s="107" t="s">
        <v>250</v>
      </c>
      <c r="B100" s="108" t="s">
        <v>251</v>
      </c>
      <c r="C100" s="103" t="s">
        <v>25</v>
      </c>
      <c r="D100" s="104" t="s">
        <v>252</v>
      </c>
      <c r="E100" s="103" t="s">
        <v>253</v>
      </c>
      <c r="F100" s="103" t="s">
        <v>13</v>
      </c>
      <c r="G100" s="105" t="n">
        <v>58</v>
      </c>
      <c r="H100" s="7"/>
      <c r="I100" s="7"/>
      <c r="J100" s="7"/>
      <c r="K100" s="7"/>
      <c r="L100" s="7"/>
      <c r="M100" s="7"/>
      <c r="N100" s="7"/>
      <c r="O100" s="7"/>
      <c r="P100" s="7"/>
      <c r="Q100" s="7"/>
    </row>
    <row r="101" customFormat="false" ht="58.2" hidden="false" customHeight="false" outlineLevel="0" collapsed="false">
      <c r="A101" s="107" t="s">
        <v>254</v>
      </c>
      <c r="B101" s="108" t="s">
        <v>255</v>
      </c>
      <c r="C101" s="103" t="s">
        <v>10</v>
      </c>
      <c r="D101" s="104" t="s">
        <v>256</v>
      </c>
      <c r="E101" s="109" t="s">
        <v>257</v>
      </c>
      <c r="F101" s="103" t="s">
        <v>13</v>
      </c>
      <c r="G101" s="105" t="n">
        <v>19</v>
      </c>
      <c r="H101" s="7"/>
      <c r="I101" s="7"/>
      <c r="J101" s="7"/>
      <c r="K101" s="7"/>
      <c r="L101" s="7"/>
      <c r="M101" s="7"/>
      <c r="N101" s="7"/>
      <c r="O101" s="7"/>
      <c r="P101" s="7"/>
      <c r="Q101" s="7"/>
    </row>
    <row r="102" customFormat="false" ht="44" hidden="false" customHeight="false" outlineLevel="0" collapsed="false">
      <c r="A102" s="101" t="s">
        <v>258</v>
      </c>
      <c r="B102" s="102" t="s">
        <v>259</v>
      </c>
      <c r="C102" s="103" t="s">
        <v>31</v>
      </c>
      <c r="D102" s="104" t="s">
        <v>260</v>
      </c>
      <c r="E102" s="110" t="s">
        <v>227</v>
      </c>
      <c r="F102" s="103" t="s">
        <v>13</v>
      </c>
      <c r="G102" s="105" t="n">
        <v>156</v>
      </c>
      <c r="H102" s="7"/>
      <c r="I102" s="7"/>
      <c r="J102" s="7"/>
      <c r="K102" s="7"/>
      <c r="L102" s="7"/>
      <c r="M102" s="7"/>
      <c r="N102" s="7"/>
      <c r="O102" s="7"/>
      <c r="P102" s="7"/>
      <c r="Q102" s="7"/>
    </row>
    <row r="103" customFormat="false" ht="44" hidden="false" customHeight="false" outlineLevel="0" collapsed="false">
      <c r="A103" s="101" t="s">
        <v>261</v>
      </c>
      <c r="B103" s="102" t="s">
        <v>262</v>
      </c>
      <c r="C103" s="103" t="s">
        <v>31</v>
      </c>
      <c r="D103" s="104" t="s">
        <v>263</v>
      </c>
      <c r="E103" s="110" t="s">
        <v>227</v>
      </c>
      <c r="F103" s="103" t="s">
        <v>13</v>
      </c>
      <c r="G103" s="105" t="n">
        <v>120</v>
      </c>
      <c r="H103" s="7"/>
      <c r="I103" s="7"/>
      <c r="J103" s="7"/>
      <c r="K103" s="7"/>
      <c r="L103" s="7"/>
      <c r="M103" s="7"/>
      <c r="N103" s="7"/>
      <c r="O103" s="7"/>
      <c r="P103" s="7"/>
      <c r="Q103" s="7"/>
    </row>
    <row r="104" customFormat="false" ht="44" hidden="false" customHeight="false" outlineLevel="0" collapsed="false">
      <c r="A104" s="101" t="s">
        <v>264</v>
      </c>
      <c r="B104" s="102" t="s">
        <v>265</v>
      </c>
      <c r="C104" s="103" t="s">
        <v>31</v>
      </c>
      <c r="D104" s="104" t="s">
        <v>266</v>
      </c>
      <c r="E104" s="110" t="s">
        <v>227</v>
      </c>
      <c r="F104" s="103" t="s">
        <v>13</v>
      </c>
      <c r="G104" s="105" t="n">
        <v>247</v>
      </c>
      <c r="H104" s="7"/>
      <c r="I104" s="7"/>
      <c r="J104" s="7"/>
      <c r="K104" s="7"/>
      <c r="L104" s="7"/>
      <c r="M104" s="7"/>
      <c r="N104" s="7"/>
      <c r="O104" s="7"/>
      <c r="P104" s="7"/>
      <c r="Q104" s="7"/>
    </row>
    <row r="105" customFormat="false" ht="44" hidden="false" customHeight="false" outlineLevel="0" collapsed="false">
      <c r="A105" s="101" t="s">
        <v>267</v>
      </c>
      <c r="B105" s="102" t="s">
        <v>268</v>
      </c>
      <c r="C105" s="103" t="s">
        <v>31</v>
      </c>
      <c r="D105" s="104" t="s">
        <v>269</v>
      </c>
      <c r="E105" s="110" t="s">
        <v>227</v>
      </c>
      <c r="F105" s="103" t="s">
        <v>13</v>
      </c>
      <c r="G105" s="105" t="n">
        <v>189</v>
      </c>
      <c r="H105" s="7" t="s">
        <v>270</v>
      </c>
      <c r="I105" s="7"/>
      <c r="J105" s="7"/>
      <c r="K105" s="7"/>
      <c r="L105" s="7"/>
      <c r="M105" s="7"/>
      <c r="N105" s="7"/>
      <c r="O105" s="7"/>
      <c r="P105" s="7"/>
      <c r="Q105" s="7"/>
    </row>
    <row r="106" customFormat="false" ht="29.85" hidden="false" customHeight="false" outlineLevel="0" collapsed="false">
      <c r="A106" s="101" t="s">
        <v>271</v>
      </c>
      <c r="B106" s="102" t="s">
        <v>272</v>
      </c>
      <c r="C106" s="103" t="s">
        <v>31</v>
      </c>
      <c r="D106" s="104" t="s">
        <v>273</v>
      </c>
      <c r="E106" s="110" t="s">
        <v>227</v>
      </c>
      <c r="F106" s="103" t="s">
        <v>13</v>
      </c>
      <c r="G106" s="105" t="n">
        <v>55</v>
      </c>
      <c r="H106" s="7"/>
      <c r="I106" s="7"/>
      <c r="J106" s="7"/>
      <c r="K106" s="7"/>
      <c r="L106" s="7"/>
      <c r="M106" s="7"/>
      <c r="N106" s="7"/>
      <c r="O106" s="7"/>
      <c r="P106" s="7"/>
      <c r="Q106" s="7"/>
    </row>
    <row r="107" customFormat="false" ht="29.85" hidden="false" customHeight="false" outlineLevel="0" collapsed="false">
      <c r="A107" s="101" t="s">
        <v>274</v>
      </c>
      <c r="B107" s="102" t="s">
        <v>275</v>
      </c>
      <c r="C107" s="103" t="s">
        <v>31</v>
      </c>
      <c r="D107" s="104" t="s">
        <v>276</v>
      </c>
      <c r="E107" s="110" t="s">
        <v>227</v>
      </c>
      <c r="F107" s="103" t="s">
        <v>13</v>
      </c>
      <c r="G107" s="105" t="n">
        <v>44.53</v>
      </c>
      <c r="H107" s="7"/>
      <c r="I107" s="7"/>
      <c r="J107" s="7"/>
      <c r="K107" s="7"/>
      <c r="L107" s="7"/>
      <c r="M107" s="7"/>
      <c r="N107" s="7"/>
      <c r="O107" s="7"/>
      <c r="P107" s="7"/>
      <c r="Q107" s="7"/>
    </row>
    <row r="108" customFormat="false" ht="29.85" hidden="false" customHeight="false" outlineLevel="0" collapsed="false">
      <c r="A108" s="101" t="s">
        <v>277</v>
      </c>
      <c r="B108" s="102" t="s">
        <v>278</v>
      </c>
      <c r="C108" s="103" t="s">
        <v>31</v>
      </c>
      <c r="D108" s="104" t="s">
        <v>279</v>
      </c>
      <c r="E108" s="110" t="s">
        <v>227</v>
      </c>
      <c r="F108" s="103" t="s">
        <v>13</v>
      </c>
      <c r="G108" s="105" t="n">
        <v>69</v>
      </c>
      <c r="H108" s="7"/>
      <c r="I108" s="7"/>
      <c r="J108" s="7"/>
      <c r="K108" s="7"/>
      <c r="L108" s="7"/>
      <c r="M108" s="7"/>
      <c r="N108" s="7"/>
      <c r="O108" s="7"/>
      <c r="P108" s="7"/>
      <c r="Q108" s="7"/>
    </row>
    <row r="109" customFormat="false" ht="44" hidden="false" customHeight="false" outlineLevel="0" collapsed="false">
      <c r="A109" s="101" t="s">
        <v>280</v>
      </c>
      <c r="B109" s="108" t="s">
        <v>281</v>
      </c>
      <c r="C109" s="103" t="s">
        <v>10</v>
      </c>
      <c r="D109" s="104" t="s">
        <v>282</v>
      </c>
      <c r="E109" s="103" t="s">
        <v>283</v>
      </c>
      <c r="F109" s="103" t="s">
        <v>13</v>
      </c>
      <c r="G109" s="105" t="n">
        <v>75</v>
      </c>
      <c r="H109" s="7"/>
      <c r="I109" s="7"/>
      <c r="J109" s="7"/>
      <c r="K109" s="7"/>
      <c r="L109" s="7"/>
      <c r="M109" s="7"/>
      <c r="N109" s="7"/>
      <c r="O109" s="7"/>
      <c r="P109" s="7"/>
      <c r="Q109" s="7"/>
    </row>
    <row r="110" customFormat="false" ht="44" hidden="false" customHeight="false" outlineLevel="0" collapsed="false">
      <c r="A110" s="101" t="s">
        <v>284</v>
      </c>
      <c r="B110" s="108" t="s">
        <v>285</v>
      </c>
      <c r="C110" s="103" t="s">
        <v>10</v>
      </c>
      <c r="D110" s="104" t="s">
        <v>286</v>
      </c>
      <c r="E110" s="111" t="s">
        <v>287</v>
      </c>
      <c r="F110" s="103" t="s">
        <v>13</v>
      </c>
      <c r="G110" s="105" t="n">
        <v>34</v>
      </c>
      <c r="H110" s="7"/>
      <c r="I110" s="7"/>
      <c r="J110" s="7"/>
      <c r="K110" s="7"/>
      <c r="L110" s="7"/>
      <c r="M110" s="7"/>
      <c r="N110" s="7"/>
      <c r="O110" s="7"/>
      <c r="P110" s="7"/>
      <c r="Q110" s="7"/>
    </row>
    <row r="111" customFormat="false" ht="44" hidden="false" customHeight="false" outlineLevel="0" collapsed="false">
      <c r="A111" s="101" t="s">
        <v>288</v>
      </c>
      <c r="B111" s="108" t="s">
        <v>289</v>
      </c>
      <c r="C111" s="103" t="s">
        <v>10</v>
      </c>
      <c r="D111" s="104" t="s">
        <v>290</v>
      </c>
      <c r="E111" s="103" t="s">
        <v>291</v>
      </c>
      <c r="F111" s="111" t="s">
        <v>13</v>
      </c>
      <c r="G111" s="105" t="n">
        <v>36</v>
      </c>
      <c r="H111" s="7"/>
      <c r="I111" s="7"/>
      <c r="J111" s="7"/>
      <c r="K111" s="7"/>
      <c r="L111" s="7"/>
      <c r="M111" s="7"/>
      <c r="N111" s="7"/>
      <c r="O111" s="7"/>
      <c r="P111" s="7"/>
      <c r="Q111" s="7"/>
    </row>
    <row r="112" customFormat="false" ht="29.85" hidden="false" customHeight="false" outlineLevel="0" collapsed="false">
      <c r="A112" s="101" t="s">
        <v>292</v>
      </c>
      <c r="B112" s="108" t="s">
        <v>293</v>
      </c>
      <c r="C112" s="103" t="s">
        <v>10</v>
      </c>
      <c r="D112" s="104" t="s">
        <v>294</v>
      </c>
      <c r="E112" s="103" t="s">
        <v>295</v>
      </c>
      <c r="F112" s="103" t="s">
        <v>13</v>
      </c>
      <c r="G112" s="105" t="n">
        <v>184.5</v>
      </c>
      <c r="H112" s="7"/>
      <c r="I112" s="7"/>
      <c r="J112" s="7"/>
      <c r="K112" s="7"/>
      <c r="L112" s="7"/>
      <c r="M112" s="7"/>
      <c r="N112" s="7"/>
      <c r="O112" s="7"/>
      <c r="P112" s="7"/>
      <c r="Q112" s="7"/>
    </row>
    <row r="113" s="10" customFormat="true" ht="24.45" hidden="false" customHeight="false" outlineLevel="0" collapsed="false">
      <c r="A113" s="7"/>
      <c r="B113" s="7"/>
      <c r="C113" s="7"/>
      <c r="D113" s="7"/>
      <c r="E113" s="7"/>
      <c r="F113" s="7"/>
      <c r="G113" s="7"/>
      <c r="H113" s="7"/>
      <c r="I113" s="7"/>
      <c r="J113" s="7"/>
      <c r="K113" s="9"/>
      <c r="L113" s="9"/>
      <c r="M113" s="9"/>
      <c r="N113" s="9"/>
      <c r="O113" s="9"/>
      <c r="P113" s="9"/>
      <c r="Q113" s="9"/>
    </row>
    <row r="114" customFormat="false" ht="17.25" hidden="false" customHeight="false" outlineLevel="0" collapsed="false">
      <c r="A114" s="7"/>
      <c r="B114" s="7"/>
      <c r="C114" s="7"/>
      <c r="D114" s="7"/>
      <c r="E114" s="7"/>
      <c r="F114" s="7"/>
      <c r="G114" s="7"/>
      <c r="H114" s="7"/>
      <c r="I114" s="7"/>
      <c r="J114" s="7"/>
      <c r="K114" s="7"/>
      <c r="L114" s="7"/>
      <c r="M114" s="7"/>
      <c r="N114" s="7"/>
      <c r="O114" s="7"/>
      <c r="P114" s="7"/>
      <c r="Q114" s="7"/>
    </row>
    <row r="115" s="10" customFormat="true" ht="24.45" hidden="false" customHeight="false" outlineLevel="0" collapsed="false">
      <c r="A115" s="7"/>
      <c r="B115" s="7"/>
      <c r="C115" s="7"/>
      <c r="D115" s="7"/>
      <c r="E115" s="7"/>
      <c r="F115" s="7"/>
      <c r="G115" s="7"/>
      <c r="H115" s="7"/>
      <c r="I115" s="7"/>
      <c r="J115" s="7"/>
      <c r="K115" s="9"/>
      <c r="L115" s="9"/>
      <c r="M115" s="9"/>
      <c r="N115" s="9"/>
      <c r="O115" s="9"/>
      <c r="P115" s="9"/>
      <c r="Q115" s="9"/>
    </row>
    <row r="116" customFormat="false" ht="17.25" hidden="false" customHeight="false" outlineLevel="0" collapsed="false">
      <c r="A116" s="7"/>
      <c r="B116" s="7"/>
      <c r="C116" s="7"/>
      <c r="D116" s="7"/>
      <c r="E116" s="7"/>
      <c r="F116" s="7"/>
      <c r="G116" s="7"/>
      <c r="H116" s="7"/>
      <c r="I116" s="7"/>
      <c r="J116" s="7"/>
      <c r="K116" s="4"/>
      <c r="L116" s="7"/>
      <c r="M116" s="7"/>
      <c r="N116" s="7"/>
      <c r="O116" s="7"/>
      <c r="P116" s="7"/>
      <c r="Q116" s="7"/>
    </row>
    <row r="117" customFormat="false" ht="17.25" hidden="false" customHeight="false" outlineLevel="0" collapsed="false">
      <c r="A117" s="7"/>
      <c r="B117" s="7"/>
      <c r="C117" s="7"/>
      <c r="D117" s="7"/>
      <c r="E117" s="7"/>
      <c r="F117" s="7"/>
      <c r="G117" s="7"/>
      <c r="H117" s="7"/>
      <c r="I117" s="7"/>
      <c r="J117" s="7"/>
      <c r="K117" s="7"/>
      <c r="L117" s="7"/>
      <c r="M117" s="7"/>
      <c r="N117" s="7"/>
      <c r="O117" s="7"/>
      <c r="P117" s="7"/>
      <c r="Q117" s="7"/>
    </row>
    <row r="118" customFormat="false" ht="24.45" hidden="false" customHeight="false" outlineLevel="0" collapsed="false">
      <c r="A118" s="112" t="s">
        <v>296</v>
      </c>
      <c r="B118" s="112"/>
      <c r="C118" s="112"/>
      <c r="D118" s="112"/>
      <c r="E118" s="112"/>
      <c r="F118" s="112"/>
      <c r="G118" s="112"/>
      <c r="H118" s="9"/>
      <c r="I118" s="9"/>
      <c r="J118" s="9"/>
      <c r="K118" s="7"/>
      <c r="L118" s="7"/>
      <c r="M118" s="7"/>
      <c r="N118" s="7"/>
      <c r="O118" s="7"/>
      <c r="P118" s="7"/>
      <c r="Q118" s="7"/>
    </row>
    <row r="119" customFormat="false" ht="29.85" hidden="false" customHeight="false" outlineLevel="0" collapsed="false">
      <c r="A119" s="113" t="s">
        <v>1</v>
      </c>
      <c r="B119" s="114" t="s">
        <v>2</v>
      </c>
      <c r="C119" s="114" t="s">
        <v>3</v>
      </c>
      <c r="D119" s="115" t="s">
        <v>4</v>
      </c>
      <c r="E119" s="114" t="s">
        <v>5</v>
      </c>
      <c r="F119" s="114" t="s">
        <v>6</v>
      </c>
      <c r="G119" s="116" t="s">
        <v>7</v>
      </c>
      <c r="H119" s="7"/>
      <c r="I119" s="7"/>
      <c r="J119" s="7"/>
      <c r="K119" s="7"/>
      <c r="L119" s="7"/>
      <c r="M119" s="7"/>
      <c r="N119" s="7"/>
      <c r="O119" s="7"/>
      <c r="P119" s="7"/>
      <c r="Q119" s="7"/>
    </row>
    <row r="120" customFormat="false" ht="24.45" hidden="false" customHeight="true" outlineLevel="0" collapsed="false">
      <c r="A120" s="117" t="s">
        <v>297</v>
      </c>
      <c r="B120" s="117"/>
      <c r="C120" s="117"/>
      <c r="D120" s="117"/>
      <c r="E120" s="117"/>
      <c r="F120" s="117"/>
      <c r="G120" s="117"/>
      <c r="H120" s="9"/>
      <c r="I120" s="9"/>
      <c r="J120" s="9"/>
      <c r="K120" s="7"/>
      <c r="L120" s="7"/>
      <c r="M120" s="7"/>
      <c r="N120" s="7"/>
      <c r="O120" s="7"/>
      <c r="P120" s="7"/>
      <c r="Q120" s="7"/>
    </row>
    <row r="121" customFormat="false" ht="44" hidden="false" customHeight="false" outlineLevel="0" collapsed="false">
      <c r="A121" s="118" t="s">
        <v>298</v>
      </c>
      <c r="B121" s="119" t="s">
        <v>299</v>
      </c>
      <c r="C121" s="120" t="s">
        <v>10</v>
      </c>
      <c r="D121" s="121" t="s">
        <v>300</v>
      </c>
      <c r="E121" s="122" t="s">
        <v>13</v>
      </c>
      <c r="F121" s="120" t="s">
        <v>13</v>
      </c>
      <c r="G121" s="123" t="n">
        <v>440</v>
      </c>
      <c r="H121" s="4"/>
      <c r="I121" s="4"/>
      <c r="J121" s="4"/>
      <c r="K121" s="7"/>
      <c r="L121" s="7"/>
      <c r="M121" s="7"/>
      <c r="N121" s="7"/>
      <c r="O121" s="7"/>
      <c r="P121" s="7"/>
      <c r="Q121" s="7"/>
    </row>
    <row r="122" customFormat="false" ht="44" hidden="false" customHeight="false" outlineLevel="0" collapsed="false">
      <c r="A122" s="118" t="s">
        <v>301</v>
      </c>
      <c r="B122" s="119" t="s">
        <v>302</v>
      </c>
      <c r="C122" s="120" t="s">
        <v>10</v>
      </c>
      <c r="D122" s="121" t="s">
        <v>303</v>
      </c>
      <c r="E122" s="122" t="s">
        <v>304</v>
      </c>
      <c r="F122" s="120" t="s">
        <v>13</v>
      </c>
      <c r="G122" s="123" t="n">
        <v>1045.81</v>
      </c>
      <c r="H122" s="7"/>
      <c r="I122" s="7"/>
      <c r="J122" s="7"/>
      <c r="K122" s="7"/>
      <c r="L122" s="7"/>
      <c r="M122" s="7"/>
      <c r="N122" s="7"/>
      <c r="O122" s="7"/>
      <c r="P122" s="7"/>
      <c r="Q122" s="7"/>
    </row>
    <row r="123" s="127" customFormat="true" ht="29.85" hidden="false" customHeight="false" outlineLevel="0" collapsed="false">
      <c r="A123" s="118" t="s">
        <v>305</v>
      </c>
      <c r="B123" s="124" t="s">
        <v>306</v>
      </c>
      <c r="C123" s="120" t="s">
        <v>10</v>
      </c>
      <c r="D123" s="125" t="s">
        <v>307</v>
      </c>
      <c r="E123" s="122" t="s">
        <v>308</v>
      </c>
      <c r="F123" s="120" t="s">
        <v>13</v>
      </c>
      <c r="G123" s="126" t="n">
        <v>3485</v>
      </c>
      <c r="H123" s="7"/>
      <c r="I123" s="7"/>
      <c r="J123" s="7"/>
      <c r="K123" s="63"/>
      <c r="L123" s="63"/>
      <c r="M123" s="63"/>
      <c r="N123" s="63"/>
      <c r="O123" s="63"/>
      <c r="P123" s="63"/>
      <c r="Q123" s="63"/>
    </row>
    <row r="124" customFormat="false" ht="29.85" hidden="false" customHeight="false" outlineLevel="0" collapsed="false">
      <c r="A124" s="118" t="s">
        <v>309</v>
      </c>
      <c r="B124" s="124" t="s">
        <v>310</v>
      </c>
      <c r="C124" s="120" t="s">
        <v>10</v>
      </c>
      <c r="D124" s="125" t="s">
        <v>311</v>
      </c>
      <c r="E124" s="128" t="s">
        <v>312</v>
      </c>
      <c r="F124" s="129" t="s">
        <v>13</v>
      </c>
      <c r="G124" s="33" t="n">
        <v>1600</v>
      </c>
      <c r="H124" s="7" t="s">
        <v>313</v>
      </c>
      <c r="I124" s="7"/>
      <c r="J124" s="7"/>
      <c r="K124" s="4"/>
      <c r="L124" s="4"/>
      <c r="M124" s="4"/>
      <c r="N124" s="4"/>
      <c r="O124" s="4"/>
      <c r="P124" s="4"/>
      <c r="Q124" s="4"/>
    </row>
    <row r="125" customFormat="false" ht="29.85" hidden="false" customHeight="false" outlineLevel="0" collapsed="false">
      <c r="A125" s="118" t="s">
        <v>314</v>
      </c>
      <c r="B125" s="124" t="s">
        <v>310</v>
      </c>
      <c r="C125" s="120" t="s">
        <v>10</v>
      </c>
      <c r="D125" s="125" t="s">
        <v>315</v>
      </c>
      <c r="E125" s="128" t="s">
        <v>312</v>
      </c>
      <c r="F125" s="129" t="s">
        <v>13</v>
      </c>
      <c r="G125" s="33" t="n">
        <v>1300</v>
      </c>
      <c r="H125" s="7" t="s">
        <v>313</v>
      </c>
      <c r="I125" s="7"/>
      <c r="J125" s="7"/>
      <c r="K125" s="4"/>
      <c r="L125" s="4"/>
      <c r="M125" s="4"/>
      <c r="N125" s="4"/>
      <c r="O125" s="4"/>
      <c r="P125" s="4"/>
      <c r="Q125" s="4"/>
    </row>
    <row r="126" customFormat="false" ht="17.25" hidden="false" customHeight="false" outlineLevel="0" collapsed="false">
      <c r="A126" s="118" t="s">
        <v>316</v>
      </c>
      <c r="B126" s="124" t="s">
        <v>317</v>
      </c>
      <c r="C126" s="120" t="s">
        <v>10</v>
      </c>
      <c r="D126" s="125" t="s">
        <v>318</v>
      </c>
      <c r="E126" s="122" t="s">
        <v>319</v>
      </c>
      <c r="F126" s="120" t="s">
        <v>13</v>
      </c>
      <c r="G126" s="126" t="n">
        <v>780</v>
      </c>
      <c r="H126" s="7" t="s">
        <v>320</v>
      </c>
      <c r="I126" s="7"/>
      <c r="J126" s="7"/>
      <c r="K126" s="7"/>
      <c r="L126" s="7"/>
      <c r="M126" s="7"/>
      <c r="N126" s="7"/>
      <c r="O126" s="7"/>
      <c r="P126" s="7"/>
      <c r="Q126" s="7"/>
    </row>
    <row r="127" customFormat="false" ht="17.25" hidden="false" customHeight="false" outlineLevel="0" collapsed="false">
      <c r="A127" s="118" t="s">
        <v>321</v>
      </c>
      <c r="B127" s="119" t="s">
        <v>322</v>
      </c>
      <c r="C127" s="120" t="s">
        <v>10</v>
      </c>
      <c r="D127" s="125" t="s">
        <v>323</v>
      </c>
      <c r="E127" s="122" t="s">
        <v>324</v>
      </c>
      <c r="F127" s="120" t="s">
        <v>13</v>
      </c>
      <c r="G127" s="126" t="n">
        <v>154</v>
      </c>
      <c r="H127" s="7"/>
      <c r="I127" s="7"/>
      <c r="J127" s="7"/>
      <c r="K127" s="7"/>
      <c r="L127" s="7"/>
      <c r="M127" s="7"/>
      <c r="N127" s="7"/>
      <c r="O127" s="7"/>
      <c r="P127" s="7"/>
      <c r="Q127" s="7"/>
    </row>
    <row r="128" customFormat="false" ht="17.25" hidden="false" customHeight="false" outlineLevel="0" collapsed="false">
      <c r="A128" s="130" t="s">
        <v>325</v>
      </c>
      <c r="B128" s="131" t="s">
        <v>325</v>
      </c>
      <c r="C128" s="132" t="s">
        <v>10</v>
      </c>
      <c r="D128" s="133" t="s">
        <v>326</v>
      </c>
      <c r="E128" s="132" t="s">
        <v>327</v>
      </c>
      <c r="F128" s="134" t="s">
        <v>13</v>
      </c>
      <c r="G128" s="135" t="n">
        <v>320</v>
      </c>
      <c r="H128" s="63"/>
      <c r="I128" s="63"/>
      <c r="J128" s="63"/>
      <c r="K128" s="7" t="s">
        <v>31</v>
      </c>
      <c r="L128" s="7" t="s">
        <v>328</v>
      </c>
      <c r="M128" s="7"/>
      <c r="N128" s="7"/>
      <c r="O128" s="7"/>
      <c r="P128" s="7"/>
      <c r="Q128" s="7"/>
    </row>
    <row r="129" customFormat="false" ht="17.25" hidden="false" customHeight="false" outlineLevel="0" collapsed="false">
      <c r="A129" s="4"/>
      <c r="B129" s="4"/>
      <c r="C129" s="4"/>
      <c r="D129" s="5"/>
      <c r="E129" s="4"/>
      <c r="F129" s="4"/>
      <c r="G129" s="6"/>
      <c r="H129" s="4"/>
      <c r="I129" s="4"/>
      <c r="J129" s="4"/>
      <c r="K129" s="7" t="n">
        <v>20</v>
      </c>
      <c r="L129" s="7" t="n">
        <f aca="false">J134/K129</f>
        <v>569.6</v>
      </c>
      <c r="M129" s="7" t="n">
        <f aca="false">L129</f>
        <v>569.6</v>
      </c>
      <c r="N129" s="7"/>
      <c r="O129" s="7"/>
      <c r="P129" s="7" t="n">
        <v>1.6</v>
      </c>
      <c r="Q129" s="7" t="n">
        <v>1.6</v>
      </c>
      <c r="R129" s="1" t="n">
        <f aca="false">P129*Q129</f>
        <v>2.56</v>
      </c>
      <c r="S129" s="1" t="n">
        <v>3328</v>
      </c>
      <c r="T129" s="1" t="n">
        <f aca="false">S129/R129</f>
        <v>1300</v>
      </c>
    </row>
    <row r="130" customFormat="false" ht="17.25" hidden="false" customHeight="false" outlineLevel="0" collapsed="false">
      <c r="A130" s="4"/>
      <c r="B130" s="4"/>
      <c r="C130" s="4"/>
      <c r="D130" s="5"/>
      <c r="E130" s="4"/>
      <c r="F130" s="4"/>
      <c r="G130" s="6"/>
      <c r="H130" s="4"/>
      <c r="I130" s="4"/>
      <c r="J130" s="4"/>
      <c r="K130" s="7"/>
      <c r="L130" s="7"/>
      <c r="M130" s="7"/>
      <c r="N130" s="7"/>
      <c r="O130" s="7"/>
      <c r="P130" s="7"/>
      <c r="Q130" s="7"/>
    </row>
    <row r="131" customFormat="false" ht="58.2" hidden="false" customHeight="false" outlineLevel="0" collapsed="false">
      <c r="A131" s="118" t="s">
        <v>329</v>
      </c>
      <c r="B131" s="124" t="s">
        <v>330</v>
      </c>
      <c r="C131" s="120" t="s">
        <v>31</v>
      </c>
      <c r="D131" s="125" t="s">
        <v>331</v>
      </c>
      <c r="E131" s="122" t="s">
        <v>227</v>
      </c>
      <c r="F131" s="120" t="s">
        <v>13</v>
      </c>
      <c r="G131" s="126" t="n">
        <v>207</v>
      </c>
      <c r="H131" s="7"/>
      <c r="I131" s="7"/>
      <c r="J131" s="7"/>
      <c r="K131" s="7"/>
      <c r="L131" s="7"/>
      <c r="M131" s="7"/>
      <c r="N131" s="7"/>
      <c r="O131" s="7"/>
      <c r="P131" s="7" t="n">
        <v>3</v>
      </c>
      <c r="Q131" s="7" t="n">
        <v>5</v>
      </c>
      <c r="R131" s="1" t="n">
        <f aca="false">P131*Q131</f>
        <v>15</v>
      </c>
      <c r="S131" s="1" t="n">
        <v>11800</v>
      </c>
      <c r="T131" s="1" t="n">
        <f aca="false">S131/R131</f>
        <v>786.666666666667</v>
      </c>
    </row>
    <row r="132" customFormat="false" ht="72.35" hidden="false" customHeight="false" outlineLevel="0" collapsed="false">
      <c r="A132" s="118" t="s">
        <v>332</v>
      </c>
      <c r="B132" s="124" t="s">
        <v>333</v>
      </c>
      <c r="C132" s="120" t="s">
        <v>334</v>
      </c>
      <c r="D132" s="125" t="s">
        <v>335</v>
      </c>
      <c r="E132" s="122" t="s">
        <v>336</v>
      </c>
      <c r="F132" s="120" t="s">
        <v>13</v>
      </c>
      <c r="G132" s="126" t="n">
        <v>11500</v>
      </c>
      <c r="H132" s="7"/>
      <c r="I132" s="7"/>
      <c r="J132" s="7"/>
      <c r="K132" s="4"/>
      <c r="L132" s="4"/>
      <c r="M132" s="4"/>
      <c r="N132" s="4"/>
      <c r="O132" s="4"/>
      <c r="P132" s="4"/>
      <c r="Q132" s="4"/>
    </row>
    <row r="133" customFormat="false" ht="58.2" hidden="false" customHeight="false" outlineLevel="0" collapsed="false">
      <c r="A133" s="118" t="s">
        <v>337</v>
      </c>
      <c r="B133" s="124" t="s">
        <v>338</v>
      </c>
      <c r="C133" s="120" t="s">
        <v>334</v>
      </c>
      <c r="D133" s="136" t="s">
        <v>339</v>
      </c>
      <c r="E133" s="122" t="s">
        <v>340</v>
      </c>
      <c r="F133" s="120" t="s">
        <v>13</v>
      </c>
      <c r="G133" s="126" t="n">
        <f aca="false">(4445+1220)</f>
        <v>5665</v>
      </c>
      <c r="H133" s="7" t="s">
        <v>341</v>
      </c>
      <c r="I133" s="7"/>
      <c r="J133" s="7" t="s">
        <v>342</v>
      </c>
      <c r="K133" s="4"/>
      <c r="L133" s="4"/>
      <c r="M133" s="4"/>
      <c r="N133" s="4"/>
      <c r="O133" s="4"/>
      <c r="P133" s="4"/>
      <c r="Q133" s="4"/>
    </row>
    <row r="134" customFormat="false" ht="44" hidden="false" customHeight="false" outlineLevel="0" collapsed="false">
      <c r="A134" s="118" t="s">
        <v>343</v>
      </c>
      <c r="B134" s="124" t="s">
        <v>344</v>
      </c>
      <c r="C134" s="120" t="s">
        <v>31</v>
      </c>
      <c r="D134" s="136" t="s">
        <v>345</v>
      </c>
      <c r="E134" s="122" t="s">
        <v>346</v>
      </c>
      <c r="F134" s="120" t="s">
        <v>13</v>
      </c>
      <c r="G134" s="126" t="n">
        <v>456</v>
      </c>
      <c r="H134" s="7"/>
      <c r="I134" s="7"/>
      <c r="J134" s="7" t="n">
        <f aca="false">6400+4992</f>
        <v>11392</v>
      </c>
      <c r="K134" s="7"/>
      <c r="L134" s="7"/>
      <c r="M134" s="7"/>
      <c r="N134" s="7"/>
      <c r="O134" s="7"/>
      <c r="P134" s="7"/>
      <c r="Q134" s="7"/>
    </row>
    <row r="135" customFormat="false" ht="44" hidden="false" customHeight="false" outlineLevel="0" collapsed="false">
      <c r="A135" s="118" t="s">
        <v>347</v>
      </c>
      <c r="B135" s="124" t="s">
        <v>348</v>
      </c>
      <c r="C135" s="120" t="s">
        <v>31</v>
      </c>
      <c r="D135" s="136" t="s">
        <v>349</v>
      </c>
      <c r="E135" s="122" t="s">
        <v>346</v>
      </c>
      <c r="F135" s="120"/>
      <c r="G135" s="126" t="n">
        <v>200</v>
      </c>
      <c r="H135" s="7" t="s">
        <v>350</v>
      </c>
      <c r="I135" s="7"/>
      <c r="J135" s="7"/>
      <c r="K135" s="7"/>
      <c r="L135" s="7"/>
      <c r="M135" s="7"/>
      <c r="N135" s="7"/>
      <c r="O135" s="7"/>
      <c r="P135" s="7"/>
      <c r="Q135" s="7"/>
    </row>
    <row r="136" customFormat="false" ht="44" hidden="false" customHeight="false" outlineLevel="0" collapsed="false">
      <c r="A136" s="130" t="s">
        <v>351</v>
      </c>
      <c r="B136" s="131" t="s">
        <v>352</v>
      </c>
      <c r="C136" s="120" t="s">
        <v>334</v>
      </c>
      <c r="D136" s="125" t="s">
        <v>353</v>
      </c>
      <c r="E136" s="122" t="s">
        <v>336</v>
      </c>
      <c r="F136" s="134"/>
      <c r="G136" s="135" t="n">
        <v>6000</v>
      </c>
      <c r="H136" s="7"/>
      <c r="I136" s="7"/>
      <c r="J136" s="7"/>
      <c r="K136" s="7"/>
      <c r="L136" s="7"/>
      <c r="M136" s="7"/>
      <c r="N136" s="7"/>
      <c r="O136" s="7"/>
      <c r="P136" s="7"/>
      <c r="Q136" s="7"/>
    </row>
    <row r="137" customFormat="false" ht="17.25" hidden="false" customHeight="false" outlineLevel="0" collapsed="false">
      <c r="A137" s="4"/>
      <c r="B137" s="4"/>
      <c r="C137" s="4"/>
      <c r="D137" s="5"/>
      <c r="E137" s="4"/>
      <c r="F137" s="4"/>
      <c r="G137" s="6"/>
      <c r="H137" s="4"/>
      <c r="I137" s="4"/>
      <c r="J137" s="4"/>
      <c r="K137" s="7"/>
      <c r="L137" s="7"/>
      <c r="M137" s="7"/>
      <c r="N137" s="7"/>
      <c r="O137" s="7"/>
      <c r="P137" s="7"/>
      <c r="Q137" s="7"/>
    </row>
    <row r="138" customFormat="false" ht="44" hidden="false" customHeight="false" outlineLevel="0" collapsed="false">
      <c r="A138" s="118" t="s">
        <v>354</v>
      </c>
      <c r="B138" s="119" t="s">
        <v>355</v>
      </c>
      <c r="C138" s="120" t="s">
        <v>10</v>
      </c>
      <c r="D138" s="121" t="s">
        <v>356</v>
      </c>
      <c r="E138" s="122" t="s">
        <v>357</v>
      </c>
      <c r="F138" s="120" t="s">
        <v>13</v>
      </c>
      <c r="G138" s="123" t="n">
        <v>768</v>
      </c>
      <c r="H138" s="4"/>
      <c r="I138" s="4"/>
      <c r="J138" s="4"/>
      <c r="K138" s="7"/>
      <c r="L138" s="7"/>
      <c r="M138" s="7"/>
      <c r="N138" s="7"/>
      <c r="O138" s="7"/>
      <c r="P138" s="7"/>
      <c r="Q138" s="7"/>
    </row>
    <row r="139" customFormat="false" ht="44" hidden="false" customHeight="false" outlineLevel="0" collapsed="false">
      <c r="A139" s="118" t="s">
        <v>358</v>
      </c>
      <c r="B139" s="119" t="s">
        <v>359</v>
      </c>
      <c r="C139" s="120" t="s">
        <v>10</v>
      </c>
      <c r="D139" s="121" t="s">
        <v>360</v>
      </c>
      <c r="E139" s="122" t="s">
        <v>361</v>
      </c>
      <c r="F139" s="120" t="s">
        <v>13</v>
      </c>
      <c r="G139" s="123" t="n">
        <v>1246.3</v>
      </c>
      <c r="H139" s="7"/>
      <c r="I139" s="7"/>
      <c r="J139" s="7"/>
      <c r="K139" s="7"/>
      <c r="L139" s="7"/>
      <c r="M139" s="7"/>
      <c r="N139" s="7"/>
      <c r="O139" s="7"/>
      <c r="P139" s="7"/>
      <c r="Q139" s="7"/>
    </row>
    <row r="140" customFormat="false" ht="44" hidden="false" customHeight="false" outlineLevel="0" collapsed="false">
      <c r="A140" s="118" t="s">
        <v>362</v>
      </c>
      <c r="B140" s="119" t="s">
        <v>363</v>
      </c>
      <c r="C140" s="120" t="s">
        <v>10</v>
      </c>
      <c r="D140" s="121" t="s">
        <v>364</v>
      </c>
      <c r="E140" s="122" t="s">
        <v>365</v>
      </c>
      <c r="F140" s="120" t="s">
        <v>13</v>
      </c>
      <c r="G140" s="123" t="n">
        <v>1357</v>
      </c>
      <c r="H140" s="7"/>
      <c r="I140" s="7"/>
      <c r="J140" s="7"/>
      <c r="K140" s="7"/>
      <c r="L140" s="7"/>
      <c r="M140" s="7"/>
      <c r="N140" s="7"/>
      <c r="O140" s="7"/>
      <c r="P140" s="7"/>
      <c r="Q140" s="7"/>
    </row>
    <row r="141" customFormat="false" ht="44" hidden="false" customHeight="false" outlineLevel="0" collapsed="false">
      <c r="A141" s="118" t="s">
        <v>366</v>
      </c>
      <c r="B141" s="119" t="s">
        <v>367</v>
      </c>
      <c r="C141" s="120" t="s">
        <v>10</v>
      </c>
      <c r="D141" s="121" t="s">
        <v>368</v>
      </c>
      <c r="E141" s="122" t="s">
        <v>369</v>
      </c>
      <c r="F141" s="120" t="s">
        <v>13</v>
      </c>
      <c r="G141" s="123" t="n">
        <v>540</v>
      </c>
      <c r="H141" s="7"/>
      <c r="I141" s="7"/>
      <c r="J141" s="7"/>
      <c r="K141" s="7"/>
      <c r="L141" s="7"/>
      <c r="M141" s="7"/>
      <c r="N141" s="7"/>
      <c r="O141" s="7"/>
      <c r="P141" s="7"/>
      <c r="Q141" s="7"/>
    </row>
    <row r="142" customFormat="false" ht="29.85" hidden="false" customHeight="false" outlineLevel="0" collapsed="false">
      <c r="A142" s="118" t="s">
        <v>370</v>
      </c>
      <c r="B142" s="124" t="s">
        <v>371</v>
      </c>
      <c r="C142" s="122" t="s">
        <v>10</v>
      </c>
      <c r="D142" s="121" t="s">
        <v>372</v>
      </c>
      <c r="E142" s="122" t="s">
        <v>373</v>
      </c>
      <c r="F142" s="120" t="s">
        <v>13</v>
      </c>
      <c r="G142" s="126" t="n">
        <v>4834.8</v>
      </c>
      <c r="H142" s="7"/>
      <c r="I142" s="7"/>
      <c r="J142" s="7"/>
      <c r="K142" s="7"/>
      <c r="L142" s="7"/>
      <c r="M142" s="7"/>
      <c r="N142" s="7"/>
      <c r="O142" s="7"/>
      <c r="P142" s="7"/>
      <c r="Q142" s="7"/>
    </row>
    <row r="143" customFormat="false" ht="44" hidden="false" customHeight="false" outlineLevel="0" collapsed="false">
      <c r="A143" s="118" t="s">
        <v>374</v>
      </c>
      <c r="B143" s="124" t="s">
        <v>375</v>
      </c>
      <c r="C143" s="122" t="s">
        <v>10</v>
      </c>
      <c r="D143" s="121" t="s">
        <v>376</v>
      </c>
      <c r="E143" s="122" t="s">
        <v>377</v>
      </c>
      <c r="F143" s="120" t="s">
        <v>13</v>
      </c>
      <c r="G143" s="126" t="n">
        <f aca="false">250+58*2</f>
        <v>366</v>
      </c>
      <c r="H143" s="7"/>
      <c r="I143" s="7"/>
      <c r="J143" s="7"/>
      <c r="K143" s="7"/>
      <c r="L143" s="7"/>
      <c r="M143" s="7"/>
      <c r="N143" s="7"/>
      <c r="O143" s="7"/>
      <c r="P143" s="7"/>
      <c r="Q143" s="7"/>
    </row>
    <row r="144" customFormat="false" ht="29.85" hidden="false" customHeight="false" outlineLevel="0" collapsed="false">
      <c r="A144" s="118" t="s">
        <v>378</v>
      </c>
      <c r="B144" s="124" t="s">
        <v>379</v>
      </c>
      <c r="C144" s="122" t="s">
        <v>10</v>
      </c>
      <c r="D144" s="121" t="s">
        <v>380</v>
      </c>
      <c r="E144" s="122" t="s">
        <v>381</v>
      </c>
      <c r="F144" s="120" t="s">
        <v>13</v>
      </c>
      <c r="G144" s="126" t="n">
        <v>5815</v>
      </c>
      <c r="H144" s="7"/>
      <c r="I144" s="7"/>
      <c r="J144" s="7"/>
      <c r="K144" s="4"/>
      <c r="L144" s="4"/>
      <c r="M144" s="4"/>
      <c r="N144" s="4"/>
      <c r="O144" s="4"/>
      <c r="P144" s="4"/>
      <c r="Q144" s="4"/>
    </row>
    <row r="145" customFormat="false" ht="29.85" hidden="false" customHeight="false" outlineLevel="0" collapsed="false">
      <c r="A145" s="118" t="s">
        <v>382</v>
      </c>
      <c r="B145" s="124" t="s">
        <v>383</v>
      </c>
      <c r="C145" s="122" t="s">
        <v>10</v>
      </c>
      <c r="D145" s="121" t="s">
        <v>384</v>
      </c>
      <c r="E145" s="122" t="s">
        <v>385</v>
      </c>
      <c r="F145" s="120" t="s">
        <v>13</v>
      </c>
      <c r="G145" s="126" t="n">
        <v>640</v>
      </c>
      <c r="H145" s="7"/>
      <c r="I145" s="7"/>
      <c r="J145" s="7"/>
      <c r="K145" s="7"/>
      <c r="L145" s="7"/>
      <c r="M145" s="7"/>
      <c r="N145" s="7"/>
      <c r="O145" s="7"/>
      <c r="P145" s="7"/>
      <c r="Q145" s="7"/>
    </row>
    <row r="146" customFormat="false" ht="24.45" hidden="false" customHeight="true" outlineLevel="0" collapsed="false">
      <c r="A146" s="137" t="s">
        <v>386</v>
      </c>
      <c r="B146" s="137"/>
      <c r="C146" s="137"/>
      <c r="D146" s="137"/>
      <c r="E146" s="137"/>
      <c r="F146" s="137"/>
      <c r="G146" s="137"/>
      <c r="H146" s="9"/>
      <c r="I146" s="9"/>
      <c r="J146" s="9"/>
      <c r="K146" s="7"/>
      <c r="L146" s="7"/>
      <c r="M146" s="7"/>
      <c r="N146" s="7"/>
      <c r="O146" s="7"/>
      <c r="P146" s="7"/>
      <c r="Q146" s="7"/>
    </row>
    <row r="147" customFormat="false" ht="29.85" hidden="false" customHeight="false" outlineLevel="0" collapsed="false">
      <c r="A147" s="118" t="s">
        <v>387</v>
      </c>
      <c r="B147" s="124" t="s">
        <v>388</v>
      </c>
      <c r="C147" s="120" t="s">
        <v>10</v>
      </c>
      <c r="D147" s="125" t="s">
        <v>389</v>
      </c>
      <c r="E147" s="122" t="s">
        <v>390</v>
      </c>
      <c r="F147" s="120" t="s">
        <v>13</v>
      </c>
      <c r="G147" s="126" t="n">
        <v>1066</v>
      </c>
      <c r="H147" s="7"/>
      <c r="I147" s="7"/>
      <c r="J147" s="7"/>
      <c r="K147" s="7"/>
      <c r="L147" s="7"/>
      <c r="M147" s="7"/>
      <c r="N147" s="7"/>
      <c r="O147" s="7"/>
      <c r="P147" s="7"/>
      <c r="Q147" s="7"/>
    </row>
    <row r="148" customFormat="false" ht="29.85" hidden="false" customHeight="false" outlineLevel="0" collapsed="false">
      <c r="A148" s="118" t="s">
        <v>391</v>
      </c>
      <c r="B148" s="124" t="s">
        <v>388</v>
      </c>
      <c r="C148" s="120" t="s">
        <v>10</v>
      </c>
      <c r="D148" s="125" t="s">
        <v>389</v>
      </c>
      <c r="E148" s="122" t="s">
        <v>392</v>
      </c>
      <c r="F148" s="120" t="s">
        <v>13</v>
      </c>
      <c r="G148" s="126" t="n">
        <v>1426</v>
      </c>
      <c r="H148" s="7"/>
      <c r="I148" s="7"/>
      <c r="J148" s="7"/>
      <c r="K148" s="7"/>
      <c r="L148" s="7"/>
      <c r="M148" s="7"/>
      <c r="N148" s="7"/>
      <c r="O148" s="7"/>
      <c r="P148" s="7"/>
      <c r="Q148" s="7"/>
    </row>
    <row r="149" customFormat="false" ht="17.25" hidden="false" customHeight="false" outlineLevel="0" collapsed="false">
      <c r="A149" s="118" t="s">
        <v>393</v>
      </c>
      <c r="B149" s="124" t="s">
        <v>393</v>
      </c>
      <c r="C149" s="122" t="s">
        <v>10</v>
      </c>
      <c r="D149" s="125" t="s">
        <v>394</v>
      </c>
      <c r="E149" s="122" t="s">
        <v>395</v>
      </c>
      <c r="F149" s="120" t="s">
        <v>13</v>
      </c>
      <c r="G149" s="126" t="n">
        <v>376</v>
      </c>
      <c r="H149" s="4" t="s">
        <v>396</v>
      </c>
      <c r="I149" s="4"/>
      <c r="J149" s="4"/>
      <c r="K149" s="7"/>
      <c r="L149" s="7"/>
      <c r="M149" s="7"/>
      <c r="N149" s="7"/>
      <c r="O149" s="7"/>
      <c r="P149" s="7"/>
      <c r="Q149" s="7"/>
    </row>
    <row r="150" customFormat="false" ht="29.85" hidden="false" customHeight="false" outlineLevel="0" collapsed="false">
      <c r="A150" s="118" t="s">
        <v>397</v>
      </c>
      <c r="B150" s="124" t="s">
        <v>398</v>
      </c>
      <c r="C150" s="122" t="s">
        <v>10</v>
      </c>
      <c r="D150" s="125" t="s">
        <v>399</v>
      </c>
      <c r="E150" s="122" t="s">
        <v>400</v>
      </c>
      <c r="F150" s="120" t="s">
        <v>13</v>
      </c>
      <c r="G150" s="126" t="n">
        <f aca="false">886.7+(1.5*39)</f>
        <v>945.2</v>
      </c>
      <c r="H150" s="7"/>
      <c r="I150" s="7"/>
      <c r="J150" s="7"/>
      <c r="K150" s="7"/>
      <c r="L150" s="7"/>
      <c r="M150" s="7"/>
      <c r="N150" s="7"/>
      <c r="O150" s="7"/>
      <c r="P150" s="7"/>
      <c r="Q150" s="7"/>
    </row>
    <row r="151" customFormat="false" ht="29.85" hidden="false" customHeight="false" outlineLevel="0" collapsed="false">
      <c r="A151" s="118" t="s">
        <v>401</v>
      </c>
      <c r="B151" s="124" t="s">
        <v>402</v>
      </c>
      <c r="C151" s="122" t="s">
        <v>10</v>
      </c>
      <c r="D151" s="125" t="s">
        <v>399</v>
      </c>
      <c r="E151" s="122" t="s">
        <v>304</v>
      </c>
      <c r="F151" s="120" t="s">
        <v>13</v>
      </c>
      <c r="G151" s="126" t="n">
        <f aca="false">893.16+(1.5*39)</f>
        <v>951.66</v>
      </c>
      <c r="H151" s="7"/>
      <c r="I151" s="7"/>
      <c r="J151" s="7"/>
      <c r="K151" s="7"/>
      <c r="L151" s="7"/>
      <c r="M151" s="7"/>
      <c r="N151" s="7"/>
      <c r="O151" s="7"/>
      <c r="P151" s="7"/>
      <c r="Q151" s="7"/>
    </row>
    <row r="152" customFormat="false" ht="58.2" hidden="false" customHeight="false" outlineLevel="0" collapsed="false">
      <c r="A152" s="118" t="s">
        <v>403</v>
      </c>
      <c r="B152" s="124" t="s">
        <v>404</v>
      </c>
      <c r="C152" s="122" t="s">
        <v>405</v>
      </c>
      <c r="D152" s="125" t="s">
        <v>406</v>
      </c>
      <c r="E152" s="122" t="s">
        <v>407</v>
      </c>
      <c r="F152" s="120" t="s">
        <v>13</v>
      </c>
      <c r="G152" s="126" t="n">
        <f aca="false">1494</f>
        <v>1494</v>
      </c>
      <c r="H152" s="7"/>
      <c r="I152" s="7"/>
      <c r="J152" s="7"/>
      <c r="K152" s="7"/>
      <c r="L152" s="7"/>
      <c r="M152" s="7"/>
      <c r="N152" s="7"/>
      <c r="O152" s="7"/>
      <c r="P152" s="7"/>
      <c r="Q152" s="7"/>
    </row>
    <row r="153" customFormat="false" ht="100.7" hidden="false" customHeight="false" outlineLevel="0" collapsed="false">
      <c r="A153" s="118" t="s">
        <v>408</v>
      </c>
      <c r="B153" s="124" t="s">
        <v>409</v>
      </c>
      <c r="C153" s="122" t="s">
        <v>405</v>
      </c>
      <c r="D153" s="138" t="s">
        <v>410</v>
      </c>
      <c r="E153" s="122" t="s">
        <v>411</v>
      </c>
      <c r="F153" s="120" t="s">
        <v>13</v>
      </c>
      <c r="G153" s="126" t="n">
        <v>490</v>
      </c>
      <c r="H153" s="7"/>
      <c r="I153" s="7"/>
      <c r="J153" s="7"/>
      <c r="K153" s="7"/>
      <c r="L153" s="7"/>
      <c r="M153" s="7"/>
      <c r="N153" s="7"/>
      <c r="O153" s="7"/>
      <c r="P153" s="7"/>
      <c r="Q153" s="7"/>
    </row>
    <row r="154" customFormat="false" ht="44" hidden="false" customHeight="false" outlineLevel="0" collapsed="false">
      <c r="A154" s="118" t="s">
        <v>412</v>
      </c>
      <c r="B154" s="124" t="s">
        <v>413</v>
      </c>
      <c r="C154" s="122" t="s">
        <v>10</v>
      </c>
      <c r="D154" s="125" t="s">
        <v>414</v>
      </c>
      <c r="E154" s="122" t="s">
        <v>415</v>
      </c>
      <c r="F154" s="120" t="s">
        <v>13</v>
      </c>
      <c r="G154" s="126" t="n">
        <v>2019.9</v>
      </c>
      <c r="H154" s="7"/>
      <c r="I154" s="7"/>
      <c r="J154" s="7"/>
    </row>
    <row r="155" customFormat="false" ht="29.85" hidden="false" customHeight="false" outlineLevel="0" collapsed="false">
      <c r="A155" s="118" t="s">
        <v>416</v>
      </c>
      <c r="B155" s="124" t="s">
        <v>417</v>
      </c>
      <c r="C155" s="122" t="s">
        <v>10</v>
      </c>
      <c r="D155" s="125" t="s">
        <v>418</v>
      </c>
      <c r="E155" s="122" t="s">
        <v>419</v>
      </c>
      <c r="F155" s="120" t="s">
        <v>13</v>
      </c>
      <c r="G155" s="126" t="n">
        <v>1813.81</v>
      </c>
      <c r="H155" s="7"/>
      <c r="I155" s="7"/>
      <c r="J155" s="7"/>
      <c r="K155" s="7"/>
      <c r="L155" s="7"/>
      <c r="M155" s="7"/>
      <c r="N155" s="7"/>
      <c r="O155" s="7"/>
      <c r="P155" s="7"/>
      <c r="Q155" s="7"/>
    </row>
    <row r="156" s="10" customFormat="true" ht="29.85" hidden="false" customHeight="false" outlineLevel="0" collapsed="false">
      <c r="A156" s="118" t="s">
        <v>420</v>
      </c>
      <c r="B156" s="124" t="s">
        <v>421</v>
      </c>
      <c r="C156" s="122" t="s">
        <v>10</v>
      </c>
      <c r="D156" s="125" t="s">
        <v>422</v>
      </c>
      <c r="E156" s="122" t="s">
        <v>423</v>
      </c>
      <c r="F156" s="120" t="s">
        <v>13</v>
      </c>
      <c r="G156" s="126" t="n">
        <v>2037.69</v>
      </c>
      <c r="H156" s="7"/>
      <c r="I156" s="7"/>
      <c r="J156" s="7"/>
      <c r="K156" s="9"/>
      <c r="L156" s="9"/>
      <c r="M156" s="9"/>
      <c r="N156" s="9"/>
      <c r="O156" s="9"/>
      <c r="P156" s="9"/>
      <c r="Q156" s="9"/>
    </row>
    <row r="157" customFormat="false" ht="29.85" hidden="false" customHeight="false" outlineLevel="0" collapsed="false">
      <c r="A157" s="118" t="s">
        <v>424</v>
      </c>
      <c r="B157" s="124" t="s">
        <v>425</v>
      </c>
      <c r="C157" s="122" t="s">
        <v>10</v>
      </c>
      <c r="D157" s="125" t="s">
        <v>426</v>
      </c>
      <c r="E157" s="122" t="s">
        <v>427</v>
      </c>
      <c r="F157" s="120" t="s">
        <v>13</v>
      </c>
      <c r="G157" s="126" t="n">
        <f aca="false">798.67+(39*2)</f>
        <v>876.67</v>
      </c>
      <c r="H157" s="7"/>
      <c r="I157" s="7"/>
      <c r="J157" s="7"/>
      <c r="K157" s="7"/>
      <c r="L157" s="7"/>
      <c r="M157" s="7"/>
      <c r="N157" s="7"/>
      <c r="O157" s="7"/>
      <c r="P157" s="7"/>
      <c r="Q157" s="7"/>
    </row>
    <row r="158" customFormat="false" ht="29.85" hidden="false" customHeight="false" outlineLevel="0" collapsed="false">
      <c r="A158" s="118" t="s">
        <v>428</v>
      </c>
      <c r="B158" s="124" t="s">
        <v>429</v>
      </c>
      <c r="C158" s="122" t="s">
        <v>10</v>
      </c>
      <c r="D158" s="125" t="s">
        <v>430</v>
      </c>
      <c r="E158" s="122" t="s">
        <v>431</v>
      </c>
      <c r="F158" s="120" t="s">
        <v>13</v>
      </c>
      <c r="G158" s="126" t="n">
        <f aca="false">855.36+(1.5*46)</f>
        <v>924.36</v>
      </c>
      <c r="H158" s="7"/>
      <c r="I158" s="7"/>
      <c r="J158" s="7"/>
      <c r="K158" s="7"/>
      <c r="L158" s="7"/>
      <c r="M158" s="7"/>
      <c r="N158" s="7"/>
      <c r="O158" s="7"/>
      <c r="P158" s="7"/>
      <c r="Q158" s="7"/>
    </row>
    <row r="159" customFormat="false" ht="29.85" hidden="false" customHeight="false" outlineLevel="0" collapsed="false">
      <c r="A159" s="118" t="s">
        <v>432</v>
      </c>
      <c r="B159" s="124" t="s">
        <v>433</v>
      </c>
      <c r="C159" s="120" t="s">
        <v>10</v>
      </c>
      <c r="D159" s="125" t="s">
        <v>434</v>
      </c>
      <c r="E159" s="122" t="s">
        <v>435</v>
      </c>
      <c r="F159" s="120" t="s">
        <v>13</v>
      </c>
      <c r="G159" s="126" t="n">
        <v>278</v>
      </c>
      <c r="H159" s="7" t="s">
        <v>436</v>
      </c>
      <c r="I159" s="7"/>
      <c r="J159" s="7"/>
      <c r="K159" s="7"/>
      <c r="L159" s="7"/>
      <c r="M159" s="7"/>
      <c r="N159" s="7"/>
      <c r="O159" s="7"/>
      <c r="P159" s="7"/>
      <c r="Q159" s="7"/>
    </row>
    <row r="160" customFormat="false" ht="29.85" hidden="false" customHeight="false" outlineLevel="0" collapsed="false">
      <c r="A160" s="139" t="s">
        <v>437</v>
      </c>
      <c r="B160" s="140" t="s">
        <v>438</v>
      </c>
      <c r="C160" s="129" t="s">
        <v>10</v>
      </c>
      <c r="D160" s="141" t="s">
        <v>439</v>
      </c>
      <c r="E160" s="128" t="s">
        <v>440</v>
      </c>
      <c r="F160" s="129" t="s">
        <v>13</v>
      </c>
      <c r="G160" s="33" t="n">
        <v>559.5</v>
      </c>
      <c r="H160" s="7"/>
      <c r="I160" s="7"/>
      <c r="J160" s="7"/>
      <c r="K160" s="7"/>
      <c r="L160" s="7"/>
      <c r="M160" s="7"/>
      <c r="N160" s="7"/>
      <c r="O160" s="7"/>
      <c r="P160" s="7"/>
      <c r="Q160" s="7"/>
    </row>
    <row r="161" customFormat="false" ht="29.85" hidden="false" customHeight="false" outlineLevel="0" collapsed="false">
      <c r="A161" s="139" t="s">
        <v>441</v>
      </c>
      <c r="B161" s="140" t="s">
        <v>433</v>
      </c>
      <c r="C161" s="129" t="s">
        <v>10</v>
      </c>
      <c r="D161" s="141" t="s">
        <v>434</v>
      </c>
      <c r="E161" s="128" t="s">
        <v>435</v>
      </c>
      <c r="F161" s="129" t="s">
        <v>13</v>
      </c>
      <c r="G161" s="33" t="n">
        <v>559.5</v>
      </c>
      <c r="H161" s="7"/>
      <c r="I161" s="7"/>
      <c r="J161" s="7"/>
      <c r="K161" s="7"/>
      <c r="L161" s="7"/>
      <c r="M161" s="7"/>
      <c r="N161" s="7"/>
      <c r="O161" s="7"/>
      <c r="P161" s="7"/>
      <c r="Q161" s="7"/>
    </row>
    <row r="162" customFormat="false" ht="29.85" hidden="false" customHeight="false" outlineLevel="0" collapsed="false">
      <c r="A162" s="118" t="s">
        <v>442</v>
      </c>
      <c r="B162" s="124" t="s">
        <v>433</v>
      </c>
      <c r="C162" s="120" t="s">
        <v>10</v>
      </c>
      <c r="D162" s="125" t="s">
        <v>439</v>
      </c>
      <c r="E162" s="122" t="s">
        <v>440</v>
      </c>
      <c r="F162" s="120" t="s">
        <v>13</v>
      </c>
      <c r="G162" s="126" t="n">
        <v>559.5</v>
      </c>
      <c r="H162" s="7"/>
      <c r="I162" s="7"/>
      <c r="J162" s="7"/>
      <c r="K162" s="7"/>
      <c r="L162" s="7"/>
      <c r="M162" s="7"/>
      <c r="N162" s="7"/>
      <c r="O162" s="7"/>
      <c r="P162" s="7"/>
      <c r="Q162" s="7"/>
    </row>
    <row r="163" customFormat="false" ht="29.85" hidden="false" customHeight="false" outlineLevel="0" collapsed="false">
      <c r="A163" s="142" t="s">
        <v>443</v>
      </c>
      <c r="B163" s="124" t="s">
        <v>444</v>
      </c>
      <c r="C163" s="120" t="s">
        <v>10</v>
      </c>
      <c r="D163" s="125" t="s">
        <v>445</v>
      </c>
      <c r="E163" s="122" t="s">
        <v>336</v>
      </c>
      <c r="F163" s="120" t="s">
        <v>13</v>
      </c>
      <c r="G163" s="126" t="n">
        <v>550</v>
      </c>
      <c r="K163" s="7"/>
      <c r="L163" s="7"/>
      <c r="M163" s="7"/>
      <c r="N163" s="7"/>
      <c r="O163" s="7"/>
      <c r="P163" s="7"/>
      <c r="Q163" s="7"/>
    </row>
    <row r="164" customFormat="false" ht="72.35" hidden="false" customHeight="false" outlineLevel="0" collapsed="false">
      <c r="A164" s="142" t="s">
        <v>446</v>
      </c>
      <c r="B164" s="124" t="s">
        <v>447</v>
      </c>
      <c r="C164" s="120" t="s">
        <v>10</v>
      </c>
      <c r="D164" s="125" t="s">
        <v>448</v>
      </c>
      <c r="E164" s="122" t="s">
        <v>449</v>
      </c>
      <c r="F164" s="120" t="s">
        <v>13</v>
      </c>
      <c r="G164" s="126" t="n">
        <v>3197</v>
      </c>
      <c r="H164" s="7"/>
      <c r="I164" s="7"/>
      <c r="J164" s="7"/>
      <c r="K164" s="7"/>
      <c r="L164" s="7"/>
      <c r="M164" s="7"/>
      <c r="N164" s="7"/>
      <c r="O164" s="7"/>
      <c r="P164" s="7"/>
      <c r="Q164" s="7"/>
    </row>
    <row r="165" customFormat="false" ht="24.45" hidden="false" customHeight="false" outlineLevel="0" collapsed="false">
      <c r="A165" s="118" t="s">
        <v>450</v>
      </c>
      <c r="B165" s="119" t="s">
        <v>451</v>
      </c>
      <c r="C165" s="120" t="s">
        <v>10</v>
      </c>
      <c r="D165" s="125" t="s">
        <v>452</v>
      </c>
      <c r="E165" s="122" t="s">
        <v>453</v>
      </c>
      <c r="F165" s="120" t="s">
        <v>13</v>
      </c>
      <c r="G165" s="143" t="n">
        <v>2466</v>
      </c>
      <c r="H165" s="9"/>
      <c r="I165" s="9"/>
      <c r="J165" s="9"/>
      <c r="K165" s="7"/>
      <c r="L165" s="7"/>
      <c r="M165" s="7"/>
      <c r="N165" s="7"/>
      <c r="O165" s="7"/>
      <c r="P165" s="7"/>
      <c r="Q165" s="7"/>
    </row>
    <row r="166" s="10" customFormat="true" ht="24.45" hidden="false" customHeight="true" outlineLevel="0" collapsed="false">
      <c r="A166" s="137" t="s">
        <v>454</v>
      </c>
      <c r="B166" s="137"/>
      <c r="C166" s="137"/>
      <c r="D166" s="137"/>
      <c r="E166" s="137"/>
      <c r="F166" s="137"/>
      <c r="G166" s="137"/>
      <c r="H166" s="7"/>
      <c r="I166" s="7"/>
      <c r="J166" s="7"/>
      <c r="K166" s="9"/>
      <c r="L166" s="9"/>
      <c r="M166" s="9"/>
      <c r="N166" s="9"/>
      <c r="O166" s="9"/>
      <c r="P166" s="9"/>
      <c r="Q166" s="9"/>
    </row>
    <row r="167" customFormat="false" ht="58.2" hidden="false" customHeight="false" outlineLevel="0" collapsed="false">
      <c r="A167" s="144" t="s">
        <v>455</v>
      </c>
      <c r="B167" s="145" t="s">
        <v>456</v>
      </c>
      <c r="C167" s="146" t="s">
        <v>10</v>
      </c>
      <c r="D167" s="125" t="s">
        <v>457</v>
      </c>
      <c r="E167" s="147" t="s">
        <v>458</v>
      </c>
      <c r="F167" s="120" t="s">
        <v>13</v>
      </c>
      <c r="G167" s="143" t="n">
        <v>554</v>
      </c>
      <c r="H167" s="7"/>
      <c r="I167" s="7"/>
      <c r="J167" s="7"/>
      <c r="K167" s="7"/>
      <c r="L167" s="7"/>
      <c r="M167" s="7"/>
      <c r="N167" s="7"/>
      <c r="O167" s="7"/>
      <c r="P167" s="7"/>
      <c r="Q167" s="7"/>
    </row>
    <row r="168" customFormat="false" ht="29.85" hidden="false" customHeight="false" outlineLevel="0" collapsed="false">
      <c r="A168" s="118" t="s">
        <v>459</v>
      </c>
      <c r="B168" s="119" t="s">
        <v>460</v>
      </c>
      <c r="C168" s="120" t="s">
        <v>10</v>
      </c>
      <c r="D168" s="121" t="s">
        <v>461</v>
      </c>
      <c r="E168" s="122" t="s">
        <v>462</v>
      </c>
      <c r="F168" s="120" t="s">
        <v>13</v>
      </c>
      <c r="G168" s="123" t="n">
        <v>820</v>
      </c>
      <c r="H168" s="7"/>
      <c r="I168" s="7"/>
      <c r="J168" s="7"/>
      <c r="K168" s="7"/>
      <c r="L168" s="7"/>
      <c r="M168" s="7"/>
      <c r="N168" s="7"/>
      <c r="O168" s="7"/>
      <c r="P168" s="7"/>
      <c r="Q168" s="7"/>
    </row>
    <row r="169" customFormat="false" ht="72.35" hidden="false" customHeight="false" outlineLevel="0" collapsed="false">
      <c r="A169" s="118" t="s">
        <v>463</v>
      </c>
      <c r="B169" s="119" t="s">
        <v>464</v>
      </c>
      <c r="C169" s="120" t="s">
        <v>10</v>
      </c>
      <c r="D169" s="125" t="s">
        <v>465</v>
      </c>
      <c r="E169" s="122" t="s">
        <v>466</v>
      </c>
      <c r="F169" s="120" t="s">
        <v>13</v>
      </c>
      <c r="G169" s="126" t="n">
        <v>998.25</v>
      </c>
      <c r="H169" s="7"/>
      <c r="I169" s="7"/>
      <c r="J169" s="7"/>
      <c r="K169" s="4"/>
      <c r="L169" s="7"/>
      <c r="M169" s="7"/>
      <c r="N169" s="7"/>
      <c r="O169" s="7"/>
      <c r="P169" s="7"/>
      <c r="Q169" s="7"/>
    </row>
    <row r="170" customFormat="false" ht="72.35" hidden="false" customHeight="false" outlineLevel="0" collapsed="false">
      <c r="A170" s="118" t="s">
        <v>467</v>
      </c>
      <c r="B170" s="119" t="s">
        <v>468</v>
      </c>
      <c r="C170" s="120" t="s">
        <v>10</v>
      </c>
      <c r="D170" s="125" t="s">
        <v>469</v>
      </c>
      <c r="E170" s="122" t="s">
        <v>470</v>
      </c>
      <c r="F170" s="120" t="s">
        <v>13</v>
      </c>
      <c r="G170" s="126" t="n">
        <v>1297.12</v>
      </c>
      <c r="H170" s="7"/>
      <c r="I170" s="7"/>
      <c r="J170" s="7"/>
      <c r="K170" s="7"/>
      <c r="L170" s="7"/>
      <c r="M170" s="7"/>
      <c r="N170" s="7"/>
      <c r="O170" s="7"/>
      <c r="P170" s="7"/>
      <c r="Q170" s="7"/>
    </row>
    <row r="171" customFormat="false" ht="72.35" hidden="false" customHeight="false" outlineLevel="0" collapsed="false">
      <c r="A171" s="118" t="s">
        <v>471</v>
      </c>
      <c r="B171" s="119" t="s">
        <v>472</v>
      </c>
      <c r="C171" s="120" t="s">
        <v>10</v>
      </c>
      <c r="D171" s="125" t="s">
        <v>469</v>
      </c>
      <c r="E171" s="122" t="s">
        <v>473</v>
      </c>
      <c r="F171" s="120" t="s">
        <v>13</v>
      </c>
      <c r="G171" s="126" t="n">
        <v>1080</v>
      </c>
      <c r="H171" s="9"/>
      <c r="I171" s="9"/>
      <c r="J171" s="9"/>
      <c r="K171" s="7"/>
      <c r="L171" s="7"/>
      <c r="M171" s="7"/>
      <c r="N171" s="7"/>
      <c r="O171" s="7"/>
      <c r="P171" s="7"/>
      <c r="Q171" s="7"/>
    </row>
    <row r="172" s="10" customFormat="true" ht="24.45" hidden="false" customHeight="true" outlineLevel="0" collapsed="false">
      <c r="A172" s="137" t="s">
        <v>474</v>
      </c>
      <c r="B172" s="137"/>
      <c r="C172" s="137"/>
      <c r="D172" s="137"/>
      <c r="E172" s="137"/>
      <c r="F172" s="137"/>
      <c r="G172" s="137"/>
      <c r="H172" s="7"/>
      <c r="I172" s="7"/>
      <c r="J172" s="7"/>
      <c r="K172" s="9"/>
      <c r="L172" s="9"/>
      <c r="M172" s="9"/>
      <c r="N172" s="9"/>
      <c r="O172" s="9"/>
      <c r="P172" s="9"/>
      <c r="Q172" s="9"/>
    </row>
    <row r="173" customFormat="false" ht="17.25" hidden="false" customHeight="false" outlineLevel="0" collapsed="false">
      <c r="A173" s="118" t="s">
        <v>475</v>
      </c>
      <c r="B173" s="119" t="s">
        <v>476</v>
      </c>
      <c r="C173" s="120" t="s">
        <v>10</v>
      </c>
      <c r="D173" s="125" t="s">
        <v>477</v>
      </c>
      <c r="E173" s="122" t="s">
        <v>478</v>
      </c>
      <c r="F173" s="120" t="s">
        <v>13</v>
      </c>
      <c r="G173" s="126" t="n">
        <v>256.52</v>
      </c>
      <c r="H173" s="7"/>
      <c r="I173" s="7"/>
      <c r="J173" s="7"/>
      <c r="K173" s="7"/>
      <c r="L173" s="7"/>
      <c r="M173" s="7"/>
      <c r="N173" s="7"/>
      <c r="O173" s="7"/>
      <c r="P173" s="7"/>
      <c r="Q173" s="7"/>
    </row>
    <row r="174" customFormat="false" ht="17.25" hidden="false" customHeight="false" outlineLevel="0" collapsed="false">
      <c r="A174" s="118" t="s">
        <v>479</v>
      </c>
      <c r="B174" s="119" t="s">
        <v>480</v>
      </c>
      <c r="C174" s="120" t="s">
        <v>10</v>
      </c>
      <c r="D174" s="125" t="s">
        <v>477</v>
      </c>
      <c r="E174" s="122" t="s">
        <v>481</v>
      </c>
      <c r="F174" s="120" t="s">
        <v>13</v>
      </c>
      <c r="G174" s="126" t="n">
        <v>227.48</v>
      </c>
      <c r="H174" s="4"/>
      <c r="I174" s="4"/>
      <c r="J174" s="4"/>
      <c r="K174" s="7"/>
      <c r="L174" s="7"/>
      <c r="M174" s="7"/>
      <c r="N174" s="7"/>
      <c r="O174" s="7"/>
      <c r="P174" s="7"/>
      <c r="Q174" s="7"/>
    </row>
    <row r="175" customFormat="false" ht="100.7" hidden="false" customHeight="false" outlineLevel="0" collapsed="false">
      <c r="A175" s="118" t="s">
        <v>482</v>
      </c>
      <c r="B175" s="119" t="s">
        <v>483</v>
      </c>
      <c r="C175" s="120" t="s">
        <v>10</v>
      </c>
      <c r="D175" s="125" t="s">
        <v>484</v>
      </c>
      <c r="E175" s="122" t="s">
        <v>13</v>
      </c>
      <c r="F175" s="120" t="s">
        <v>13</v>
      </c>
      <c r="G175" s="126" t="n">
        <v>2244</v>
      </c>
      <c r="H175" s="7"/>
      <c r="I175" s="7"/>
      <c r="J175" s="7"/>
      <c r="K175" s="7"/>
      <c r="L175" s="7"/>
      <c r="M175" s="7"/>
      <c r="N175" s="7"/>
      <c r="O175" s="7"/>
      <c r="P175" s="7"/>
      <c r="Q175" s="7"/>
    </row>
    <row r="176" customFormat="false" ht="58.2" hidden="false" customHeight="false" outlineLevel="0" collapsed="false">
      <c r="A176" s="118" t="s">
        <v>485</v>
      </c>
      <c r="B176" s="119" t="s">
        <v>486</v>
      </c>
      <c r="C176" s="120" t="s">
        <v>10</v>
      </c>
      <c r="D176" s="125" t="s">
        <v>487</v>
      </c>
      <c r="E176" s="122" t="s">
        <v>488</v>
      </c>
      <c r="F176" s="120" t="s">
        <v>13</v>
      </c>
      <c r="G176" s="126" t="n">
        <v>508</v>
      </c>
      <c r="H176" s="7"/>
      <c r="I176" s="7"/>
      <c r="J176" s="7"/>
      <c r="K176" s="7"/>
      <c r="L176" s="7"/>
      <c r="M176" s="7"/>
      <c r="N176" s="7"/>
      <c r="O176" s="7"/>
      <c r="P176" s="7"/>
      <c r="Q176" s="7"/>
    </row>
    <row r="177" customFormat="false" ht="24.45" hidden="false" customHeight="false" outlineLevel="0" collapsed="false">
      <c r="A177" s="148"/>
      <c r="B177" s="149"/>
      <c r="C177" s="150"/>
      <c r="D177" s="151"/>
      <c r="E177" s="152"/>
      <c r="F177" s="150"/>
      <c r="G177" s="153"/>
      <c r="H177" s="9"/>
      <c r="I177" s="9"/>
      <c r="J177" s="9"/>
      <c r="K177" s="7"/>
      <c r="L177" s="7"/>
      <c r="M177" s="7"/>
      <c r="N177" s="7"/>
      <c r="O177" s="7"/>
      <c r="P177" s="7"/>
      <c r="Q177" s="7"/>
    </row>
    <row r="178" customFormat="false" ht="24.45" hidden="false" customHeight="true" outlineLevel="0" collapsed="false">
      <c r="A178" s="137" t="s">
        <v>489</v>
      </c>
      <c r="B178" s="137"/>
      <c r="C178" s="137"/>
      <c r="D178" s="137"/>
      <c r="E178" s="137"/>
      <c r="F178" s="137"/>
      <c r="G178" s="137"/>
      <c r="H178" s="7"/>
      <c r="I178" s="7"/>
      <c r="J178" s="7"/>
      <c r="K178" s="7"/>
      <c r="L178" s="7"/>
      <c r="M178" s="7"/>
      <c r="N178" s="7"/>
      <c r="O178" s="7"/>
      <c r="P178" s="7"/>
      <c r="Q178" s="7"/>
    </row>
    <row r="179" customFormat="false" ht="29.85" hidden="false" customHeight="false" outlineLevel="0" collapsed="false">
      <c r="A179" s="118" t="s">
        <v>490</v>
      </c>
      <c r="B179" s="124" t="s">
        <v>491</v>
      </c>
      <c r="C179" s="122" t="s">
        <v>10</v>
      </c>
      <c r="D179" s="121" t="s">
        <v>492</v>
      </c>
      <c r="E179" s="122" t="s">
        <v>493</v>
      </c>
      <c r="F179" s="120" t="s">
        <v>13</v>
      </c>
      <c r="G179" s="126" t="n">
        <v>496.5</v>
      </c>
      <c r="H179" s="7"/>
      <c r="I179" s="7"/>
      <c r="J179" s="7"/>
      <c r="K179" s="7"/>
      <c r="L179" s="7"/>
      <c r="M179" s="7"/>
      <c r="N179" s="7"/>
      <c r="O179" s="7"/>
      <c r="P179" s="7"/>
      <c r="Q179" s="7"/>
    </row>
    <row r="180" s="10" customFormat="true" ht="29.85" hidden="false" customHeight="false" outlineLevel="0" collapsed="false">
      <c r="A180" s="118" t="s">
        <v>494</v>
      </c>
      <c r="B180" s="124" t="s">
        <v>495</v>
      </c>
      <c r="C180" s="120" t="s">
        <v>10</v>
      </c>
      <c r="D180" s="125" t="s">
        <v>496</v>
      </c>
      <c r="E180" s="122" t="s">
        <v>497</v>
      </c>
      <c r="F180" s="120" t="s">
        <v>13</v>
      </c>
      <c r="G180" s="126" t="n">
        <v>557.18</v>
      </c>
      <c r="H180" s="7"/>
      <c r="I180" s="7"/>
      <c r="J180" s="7"/>
      <c r="K180" s="9"/>
      <c r="L180" s="9"/>
      <c r="M180" s="9"/>
      <c r="N180" s="9"/>
      <c r="O180" s="9"/>
      <c r="P180" s="9"/>
      <c r="Q180" s="9"/>
    </row>
    <row r="181" customFormat="false" ht="44" hidden="false" customHeight="false" outlineLevel="0" collapsed="false">
      <c r="A181" s="118" t="s">
        <v>498</v>
      </c>
      <c r="B181" s="124" t="s">
        <v>499</v>
      </c>
      <c r="C181" s="120" t="s">
        <v>10</v>
      </c>
      <c r="D181" s="125" t="s">
        <v>500</v>
      </c>
      <c r="E181" s="122" t="s">
        <v>501</v>
      </c>
      <c r="F181" s="120" t="s">
        <v>13</v>
      </c>
      <c r="G181" s="126" t="n">
        <v>825.75</v>
      </c>
      <c r="H181" s="7"/>
      <c r="I181" s="7"/>
      <c r="J181" s="7"/>
      <c r="K181" s="7"/>
      <c r="L181" s="7"/>
      <c r="M181" s="7"/>
      <c r="N181" s="7"/>
      <c r="O181" s="7"/>
      <c r="P181" s="7"/>
      <c r="Q181" s="7"/>
    </row>
    <row r="182" customFormat="false" ht="58.2" hidden="false" customHeight="false" outlineLevel="0" collapsed="false">
      <c r="A182" s="118" t="s">
        <v>502</v>
      </c>
      <c r="B182" s="124" t="s">
        <v>503</v>
      </c>
      <c r="C182" s="120" t="s">
        <v>10</v>
      </c>
      <c r="D182" s="125" t="s">
        <v>504</v>
      </c>
      <c r="E182" s="122" t="s">
        <v>505</v>
      </c>
      <c r="F182" s="120" t="s">
        <v>13</v>
      </c>
      <c r="G182" s="126" t="n">
        <v>1146</v>
      </c>
      <c r="H182" s="7"/>
      <c r="I182" s="7"/>
      <c r="J182" s="7"/>
      <c r="K182" s="7"/>
      <c r="L182" s="7"/>
      <c r="M182" s="7"/>
      <c r="N182" s="7"/>
      <c r="O182" s="7"/>
      <c r="P182" s="7"/>
      <c r="Q182" s="7"/>
    </row>
    <row r="183" customFormat="false" ht="29.85" hidden="false" customHeight="false" outlineLevel="0" collapsed="false">
      <c r="A183" s="118" t="s">
        <v>506</v>
      </c>
      <c r="B183" s="124" t="s">
        <v>507</v>
      </c>
      <c r="C183" s="120" t="s">
        <v>10</v>
      </c>
      <c r="D183" s="125" t="s">
        <v>508</v>
      </c>
      <c r="E183" s="122" t="s">
        <v>509</v>
      </c>
      <c r="F183" s="120" t="s">
        <v>13</v>
      </c>
      <c r="G183" s="126" t="n">
        <v>505.78</v>
      </c>
      <c r="H183" s="7"/>
      <c r="I183" s="7"/>
      <c r="J183" s="7"/>
      <c r="K183" s="7"/>
      <c r="L183" s="7"/>
      <c r="M183" s="7"/>
      <c r="N183" s="7"/>
      <c r="O183" s="7"/>
      <c r="P183" s="7"/>
      <c r="Q183" s="7"/>
    </row>
    <row r="184" customFormat="false" ht="29.85" hidden="false" customHeight="false" outlineLevel="0" collapsed="false">
      <c r="A184" s="118" t="s">
        <v>510</v>
      </c>
      <c r="B184" s="124" t="s">
        <v>511</v>
      </c>
      <c r="C184" s="120" t="s">
        <v>10</v>
      </c>
      <c r="D184" s="125" t="s">
        <v>508</v>
      </c>
      <c r="E184" s="122" t="s">
        <v>512</v>
      </c>
      <c r="F184" s="120" t="s">
        <v>13</v>
      </c>
      <c r="G184" s="126" t="n">
        <v>388.17</v>
      </c>
      <c r="H184" s="7"/>
      <c r="I184" s="7"/>
      <c r="J184" s="7"/>
      <c r="K184" s="7"/>
      <c r="L184" s="7"/>
      <c r="M184" s="7"/>
      <c r="N184" s="7"/>
      <c r="O184" s="7"/>
      <c r="P184" s="7"/>
      <c r="Q184" s="7"/>
    </row>
    <row r="185" customFormat="false" ht="29.85" hidden="false" customHeight="false" outlineLevel="0" collapsed="false">
      <c r="A185" s="118" t="s">
        <v>513</v>
      </c>
      <c r="B185" s="124" t="s">
        <v>514</v>
      </c>
      <c r="C185" s="120" t="s">
        <v>10</v>
      </c>
      <c r="D185" s="125" t="s">
        <v>508</v>
      </c>
      <c r="E185" s="122" t="s">
        <v>515</v>
      </c>
      <c r="F185" s="120" t="s">
        <v>13</v>
      </c>
      <c r="G185" s="126" t="n">
        <v>469.68</v>
      </c>
      <c r="H185" s="9"/>
      <c r="I185" s="9"/>
      <c r="J185" s="9"/>
      <c r="K185" s="7"/>
      <c r="L185" s="7"/>
      <c r="M185" s="7"/>
      <c r="N185" s="7"/>
      <c r="O185" s="7"/>
      <c r="P185" s="7"/>
      <c r="Q185" s="7"/>
    </row>
    <row r="186" customFormat="false" ht="24.45" hidden="false" customHeight="true" outlineLevel="0" collapsed="false">
      <c r="A186" s="137" t="s">
        <v>516</v>
      </c>
      <c r="B186" s="137"/>
      <c r="C186" s="137"/>
      <c r="D186" s="137"/>
      <c r="E186" s="137"/>
      <c r="F186" s="137"/>
      <c r="G186" s="137"/>
      <c r="H186" s="7"/>
      <c r="I186" s="7"/>
      <c r="J186" s="7"/>
      <c r="K186" s="7"/>
      <c r="L186" s="7"/>
      <c r="M186" s="7"/>
      <c r="N186" s="7"/>
      <c r="O186" s="7"/>
      <c r="P186" s="7"/>
      <c r="Q186" s="7"/>
    </row>
    <row r="187" customFormat="false" ht="29.85" hidden="false" customHeight="false" outlineLevel="0" collapsed="false">
      <c r="A187" s="118" t="s">
        <v>517</v>
      </c>
      <c r="B187" s="119" t="s">
        <v>518</v>
      </c>
      <c r="C187" s="120" t="s">
        <v>10</v>
      </c>
      <c r="D187" s="125" t="s">
        <v>519</v>
      </c>
      <c r="E187" s="122" t="s">
        <v>520</v>
      </c>
      <c r="F187" s="120" t="s">
        <v>13</v>
      </c>
      <c r="G187" s="126" t="n">
        <v>1140</v>
      </c>
      <c r="H187" s="7"/>
      <c r="I187" s="7"/>
      <c r="J187" s="7"/>
      <c r="K187" s="7"/>
      <c r="L187" s="7"/>
      <c r="M187" s="7"/>
      <c r="N187" s="7"/>
      <c r="O187" s="7"/>
      <c r="P187" s="7"/>
      <c r="Q187" s="7"/>
    </row>
    <row r="188" customFormat="false" ht="29.85" hidden="false" customHeight="false" outlineLevel="0" collapsed="false">
      <c r="A188" s="118" t="s">
        <v>521</v>
      </c>
      <c r="B188" s="119" t="s">
        <v>522</v>
      </c>
      <c r="C188" s="120" t="s">
        <v>10</v>
      </c>
      <c r="D188" s="125" t="s">
        <v>523</v>
      </c>
      <c r="E188" s="122" t="s">
        <v>520</v>
      </c>
      <c r="F188" s="120" t="s">
        <v>13</v>
      </c>
      <c r="G188" s="126" t="n">
        <v>282</v>
      </c>
      <c r="H188" s="7"/>
      <c r="I188" s="7"/>
      <c r="J188" s="7"/>
    </row>
    <row r="189" customFormat="false" ht="29.85" hidden="false" customHeight="false" outlineLevel="0" collapsed="false">
      <c r="A189" s="118" t="s">
        <v>524</v>
      </c>
      <c r="B189" s="119" t="s">
        <v>525</v>
      </c>
      <c r="C189" s="120" t="s">
        <v>10</v>
      </c>
      <c r="D189" s="125" t="s">
        <v>526</v>
      </c>
      <c r="E189" s="122" t="s">
        <v>527</v>
      </c>
      <c r="F189" s="120" t="s">
        <v>13</v>
      </c>
      <c r="G189" s="143" t="n">
        <f aca="false">2820+(8*39)</f>
        <v>3132</v>
      </c>
      <c r="H189" s="7"/>
      <c r="I189" s="7"/>
      <c r="J189" s="7"/>
      <c r="K189" s="7"/>
      <c r="L189" s="7"/>
      <c r="M189" s="7"/>
      <c r="N189" s="7"/>
      <c r="O189" s="7"/>
      <c r="P189" s="7"/>
      <c r="Q189" s="7"/>
    </row>
    <row r="190" customFormat="false" ht="17.25" hidden="false" customHeight="false" outlineLevel="0" collapsed="false">
      <c r="A190" s="118" t="s">
        <v>528</v>
      </c>
      <c r="B190" s="124" t="s">
        <v>529</v>
      </c>
      <c r="C190" s="122" t="s">
        <v>10</v>
      </c>
      <c r="D190" s="121" t="s">
        <v>530</v>
      </c>
      <c r="E190" s="122" t="s">
        <v>531</v>
      </c>
      <c r="F190" s="120" t="s">
        <v>13</v>
      </c>
      <c r="G190" s="126" t="n">
        <f aca="false">1519.37+(3*39)</f>
        <v>1636.37</v>
      </c>
      <c r="H190" s="7"/>
      <c r="I190" s="7"/>
      <c r="J190" s="7"/>
      <c r="K190" s="7"/>
      <c r="L190" s="7"/>
      <c r="M190" s="7"/>
      <c r="N190" s="7"/>
      <c r="O190" s="7"/>
      <c r="P190" s="7"/>
      <c r="Q190" s="7"/>
    </row>
    <row r="191" customFormat="false" ht="29.85" hidden="false" customHeight="false" outlineLevel="0" collapsed="false">
      <c r="A191" s="118" t="s">
        <v>532</v>
      </c>
      <c r="B191" s="124" t="s">
        <v>533</v>
      </c>
      <c r="C191" s="122" t="s">
        <v>10</v>
      </c>
      <c r="D191" s="121" t="s">
        <v>534</v>
      </c>
      <c r="E191" s="122" t="s">
        <v>531</v>
      </c>
      <c r="F191" s="120" t="s">
        <v>13</v>
      </c>
      <c r="G191" s="126" t="n">
        <f aca="false">2124+(5*39)</f>
        <v>2319</v>
      </c>
      <c r="H191" s="7"/>
      <c r="I191" s="7"/>
      <c r="J191" s="7"/>
      <c r="K191" s="4"/>
      <c r="L191" s="7"/>
      <c r="M191" s="7"/>
      <c r="N191" s="7"/>
      <c r="O191" s="7"/>
      <c r="P191" s="7"/>
      <c r="Q191" s="7"/>
    </row>
    <row r="192" s="10" customFormat="true" ht="24.45" hidden="false" customHeight="false" outlineLevel="0" collapsed="false">
      <c r="A192" s="118" t="s">
        <v>535</v>
      </c>
      <c r="B192" s="124" t="s">
        <v>529</v>
      </c>
      <c r="C192" s="122" t="s">
        <v>10</v>
      </c>
      <c r="D192" s="125" t="s">
        <v>536</v>
      </c>
      <c r="E192" s="122" t="s">
        <v>531</v>
      </c>
      <c r="F192" s="120" t="s">
        <v>13</v>
      </c>
      <c r="G192" s="126" t="n">
        <f aca="false">1261.83+(1.5*39)</f>
        <v>1320.33</v>
      </c>
      <c r="H192" s="7"/>
      <c r="I192" s="7"/>
      <c r="J192" s="7"/>
      <c r="K192" s="9"/>
      <c r="L192" s="9"/>
      <c r="M192" s="9"/>
      <c r="N192" s="9"/>
      <c r="O192" s="9"/>
      <c r="P192" s="9"/>
      <c r="Q192" s="9"/>
    </row>
    <row r="193" customFormat="false" ht="58.2" hidden="false" customHeight="false" outlineLevel="0" collapsed="false">
      <c r="A193" s="118" t="s">
        <v>537</v>
      </c>
      <c r="B193" s="124" t="s">
        <v>538</v>
      </c>
      <c r="C193" s="147" t="s">
        <v>10</v>
      </c>
      <c r="D193" s="125" t="s">
        <v>539</v>
      </c>
      <c r="E193" s="122" t="s">
        <v>540</v>
      </c>
      <c r="F193" s="120" t="s">
        <v>13</v>
      </c>
      <c r="G193" s="126" t="n">
        <v>2850</v>
      </c>
      <c r="K193" s="4"/>
      <c r="L193" s="4"/>
      <c r="M193" s="4"/>
      <c r="N193" s="4"/>
      <c r="O193" s="4"/>
      <c r="P193" s="4"/>
      <c r="Q193" s="4"/>
    </row>
    <row r="194" s="10" customFormat="true" ht="24.45" hidden="false" customHeight="false" outlineLevel="0" collapsed="false">
      <c r="A194" s="118" t="s">
        <v>541</v>
      </c>
      <c r="B194" s="124" t="s">
        <v>542</v>
      </c>
      <c r="C194" s="122" t="s">
        <v>10</v>
      </c>
      <c r="D194" s="120" t="s">
        <v>543</v>
      </c>
      <c r="E194" s="122" t="s">
        <v>544</v>
      </c>
      <c r="F194" s="120" t="s">
        <v>13</v>
      </c>
      <c r="G194" s="126" t="n">
        <v>2862</v>
      </c>
      <c r="H194" s="7"/>
      <c r="I194" s="7"/>
      <c r="J194" s="7"/>
      <c r="K194" s="9"/>
      <c r="L194" s="9"/>
      <c r="M194" s="9"/>
      <c r="N194" s="9"/>
      <c r="O194" s="9"/>
      <c r="P194" s="9"/>
      <c r="Q194" s="9"/>
    </row>
    <row r="195" customFormat="false" ht="29.85" hidden="false" customHeight="false" outlineLevel="0" collapsed="false">
      <c r="A195" s="118" t="s">
        <v>545</v>
      </c>
      <c r="B195" s="124" t="s">
        <v>546</v>
      </c>
      <c r="C195" s="122" t="s">
        <v>10</v>
      </c>
      <c r="D195" s="121" t="s">
        <v>547</v>
      </c>
      <c r="E195" s="122" t="s">
        <v>548</v>
      </c>
      <c r="F195" s="120" t="s">
        <v>13</v>
      </c>
      <c r="G195" s="126" t="n">
        <f aca="false">2238.4+(3*39)</f>
        <v>2355.4</v>
      </c>
      <c r="H195" s="7"/>
      <c r="I195" s="7"/>
      <c r="J195" s="7"/>
      <c r="K195" s="4"/>
      <c r="L195" s="4"/>
      <c r="M195" s="4"/>
      <c r="N195" s="4"/>
      <c r="O195" s="4"/>
      <c r="P195" s="4"/>
      <c r="Q195" s="4"/>
    </row>
    <row r="196" customFormat="false" ht="29.85" hidden="false" customHeight="false" outlineLevel="0" collapsed="false">
      <c r="A196" s="118" t="s">
        <v>549</v>
      </c>
      <c r="B196" s="154" t="s">
        <v>550</v>
      </c>
      <c r="C196" s="147" t="s">
        <v>10</v>
      </c>
      <c r="D196" s="121" t="s">
        <v>551</v>
      </c>
      <c r="E196" s="122" t="s">
        <v>327</v>
      </c>
      <c r="F196" s="120" t="s">
        <v>13</v>
      </c>
      <c r="G196" s="126" t="n">
        <f aca="false">2432+(4*39)</f>
        <v>2588</v>
      </c>
      <c r="H196" s="7"/>
      <c r="I196" s="7"/>
      <c r="J196" s="7"/>
      <c r="K196" s="4"/>
      <c r="L196" s="4"/>
      <c r="M196" s="4"/>
      <c r="N196" s="4"/>
      <c r="O196" s="4"/>
      <c r="P196" s="4"/>
      <c r="Q196" s="4"/>
    </row>
    <row r="197" s="10" customFormat="true" ht="24.45" hidden="false" customHeight="false" outlineLevel="0" collapsed="false">
      <c r="A197" s="118" t="s">
        <v>552</v>
      </c>
      <c r="B197" s="124" t="s">
        <v>553</v>
      </c>
      <c r="C197" s="122" t="s">
        <v>10</v>
      </c>
      <c r="D197" s="121" t="s">
        <v>554</v>
      </c>
      <c r="E197" s="122" t="s">
        <v>555</v>
      </c>
      <c r="F197" s="120" t="s">
        <v>13</v>
      </c>
      <c r="G197" s="126" t="n">
        <v>1453</v>
      </c>
      <c r="H197" s="4"/>
      <c r="I197" s="4"/>
      <c r="J197" s="4"/>
      <c r="K197" s="9"/>
      <c r="L197" s="9"/>
      <c r="M197" s="9"/>
      <c r="N197" s="9"/>
      <c r="O197" s="9"/>
      <c r="P197" s="9"/>
      <c r="Q197" s="9"/>
    </row>
    <row r="198" customFormat="false" ht="44" hidden="false" customHeight="false" outlineLevel="0" collapsed="false">
      <c r="A198" s="118" t="s">
        <v>556</v>
      </c>
      <c r="B198" s="124" t="s">
        <v>557</v>
      </c>
      <c r="C198" s="122" t="s">
        <v>10</v>
      </c>
      <c r="D198" s="121" t="s">
        <v>558</v>
      </c>
      <c r="E198" s="122" t="s">
        <v>559</v>
      </c>
      <c r="F198" s="120" t="s">
        <v>13</v>
      </c>
      <c r="G198" s="135" t="n">
        <v>560</v>
      </c>
      <c r="H198" s="9"/>
      <c r="I198" s="9"/>
      <c r="J198" s="9"/>
      <c r="K198" s="7"/>
      <c r="L198" s="7"/>
      <c r="M198" s="7"/>
      <c r="N198" s="7"/>
      <c r="O198" s="7"/>
      <c r="P198" s="7"/>
      <c r="Q198" s="7"/>
    </row>
    <row r="199" customFormat="false" ht="24.45" hidden="false" customHeight="true" outlineLevel="0" collapsed="false">
      <c r="A199" s="137" t="s">
        <v>560</v>
      </c>
      <c r="B199" s="137"/>
      <c r="C199" s="137"/>
      <c r="D199" s="137"/>
      <c r="E199" s="137"/>
      <c r="F199" s="137"/>
      <c r="G199" s="137"/>
      <c r="H199" s="4"/>
      <c r="I199" s="4"/>
      <c r="J199" s="4"/>
      <c r="K199" s="7"/>
      <c r="L199" s="7"/>
      <c r="M199" s="7"/>
      <c r="N199" s="7"/>
      <c r="O199" s="7"/>
      <c r="P199" s="7"/>
      <c r="Q199" s="7"/>
    </row>
    <row r="200" s="10" customFormat="true" ht="24.45" hidden="false" customHeight="false" outlineLevel="0" collapsed="false">
      <c r="A200" s="118" t="s">
        <v>561</v>
      </c>
      <c r="B200" s="124" t="s">
        <v>562</v>
      </c>
      <c r="C200" s="120" t="s">
        <v>10</v>
      </c>
      <c r="D200" s="125" t="s">
        <v>563</v>
      </c>
      <c r="E200" s="122" t="s">
        <v>564</v>
      </c>
      <c r="F200" s="120" t="s">
        <v>13</v>
      </c>
      <c r="G200" s="155" t="n">
        <v>3107.4</v>
      </c>
      <c r="H200" s="4"/>
      <c r="I200" s="4"/>
      <c r="J200" s="4"/>
      <c r="K200" s="9"/>
      <c r="L200" s="9"/>
      <c r="M200" s="9"/>
      <c r="N200" s="9"/>
      <c r="O200" s="9"/>
      <c r="P200" s="9"/>
      <c r="Q200" s="9"/>
    </row>
    <row r="201" customFormat="false" ht="29.85" hidden="false" customHeight="false" outlineLevel="0" collapsed="false">
      <c r="A201" s="118" t="s">
        <v>565</v>
      </c>
      <c r="B201" s="124" t="s">
        <v>566</v>
      </c>
      <c r="C201" s="120" t="s">
        <v>10</v>
      </c>
      <c r="D201" s="125" t="s">
        <v>567</v>
      </c>
      <c r="E201" s="122" t="s">
        <v>568</v>
      </c>
      <c r="F201" s="120" t="s">
        <v>13</v>
      </c>
      <c r="G201" s="155" t="n">
        <v>748</v>
      </c>
      <c r="H201" s="4"/>
      <c r="I201" s="4"/>
      <c r="J201" s="4"/>
      <c r="K201" s="7"/>
      <c r="L201" s="7"/>
      <c r="M201" s="7"/>
      <c r="N201" s="7"/>
      <c r="O201" s="7"/>
      <c r="P201" s="7"/>
      <c r="Q201" s="7"/>
    </row>
    <row r="202" customFormat="false" ht="17.25" hidden="false" customHeight="false" outlineLevel="0" collapsed="false">
      <c r="A202" s="118" t="s">
        <v>569</v>
      </c>
      <c r="B202" s="124" t="s">
        <v>562</v>
      </c>
      <c r="C202" s="120" t="s">
        <v>10</v>
      </c>
      <c r="D202" s="125" t="s">
        <v>570</v>
      </c>
      <c r="E202" s="122" t="s">
        <v>564</v>
      </c>
      <c r="F202" s="120" t="s">
        <v>13</v>
      </c>
      <c r="G202" s="155" t="n">
        <v>3434.45</v>
      </c>
      <c r="H202" s="4"/>
      <c r="I202" s="4"/>
      <c r="J202" s="4"/>
      <c r="K202" s="7"/>
      <c r="L202" s="7"/>
      <c r="M202" s="7"/>
      <c r="N202" s="7"/>
      <c r="O202" s="7"/>
      <c r="P202" s="7"/>
      <c r="Q202" s="7"/>
    </row>
    <row r="203" customFormat="false" ht="29.85" hidden="false" customHeight="false" outlineLevel="0" collapsed="false">
      <c r="A203" s="118" t="s">
        <v>571</v>
      </c>
      <c r="B203" s="124" t="s">
        <v>572</v>
      </c>
      <c r="C203" s="120" t="s">
        <v>10</v>
      </c>
      <c r="D203" s="125" t="s">
        <v>573</v>
      </c>
      <c r="E203" s="122" t="s">
        <v>574</v>
      </c>
      <c r="F203" s="120" t="s">
        <v>13</v>
      </c>
      <c r="G203" s="155" t="n">
        <v>967</v>
      </c>
      <c r="H203" s="9"/>
      <c r="I203" s="9"/>
      <c r="J203" s="9"/>
      <c r="K203" s="7"/>
      <c r="L203" s="7"/>
      <c r="M203" s="7"/>
      <c r="N203" s="7"/>
      <c r="O203" s="7"/>
      <c r="P203" s="7"/>
      <c r="Q203" s="7"/>
    </row>
    <row r="204" customFormat="false" ht="24.45" hidden="false" customHeight="true" outlineLevel="0" collapsed="false">
      <c r="A204" s="137" t="s">
        <v>575</v>
      </c>
      <c r="B204" s="137"/>
      <c r="C204" s="137"/>
      <c r="D204" s="137"/>
      <c r="E204" s="137"/>
      <c r="F204" s="137"/>
      <c r="G204" s="137"/>
      <c r="H204" s="7"/>
      <c r="I204" s="7"/>
      <c r="J204" s="7"/>
      <c r="K204" s="7"/>
      <c r="L204" s="7"/>
      <c r="M204" s="7"/>
      <c r="N204" s="7"/>
      <c r="O204" s="7"/>
      <c r="P204" s="7"/>
      <c r="Q204" s="7"/>
    </row>
    <row r="205" customFormat="false" ht="58.2" hidden="false" customHeight="false" outlineLevel="0" collapsed="false">
      <c r="A205" s="118" t="s">
        <v>576</v>
      </c>
      <c r="B205" s="124" t="s">
        <v>577</v>
      </c>
      <c r="C205" s="120" t="s">
        <v>10</v>
      </c>
      <c r="D205" s="125" t="s">
        <v>578</v>
      </c>
      <c r="E205" s="122" t="s">
        <v>579</v>
      </c>
      <c r="F205" s="120" t="s">
        <v>13</v>
      </c>
      <c r="G205" s="126" t="n">
        <v>735.73</v>
      </c>
      <c r="H205" s="7"/>
      <c r="I205" s="7"/>
      <c r="J205" s="7"/>
      <c r="K205" s="4"/>
      <c r="L205" s="4"/>
      <c r="M205" s="4"/>
      <c r="N205" s="4"/>
      <c r="O205" s="4"/>
      <c r="P205" s="4"/>
      <c r="Q205" s="4"/>
    </row>
    <row r="206" customFormat="false" ht="29.85" hidden="false" customHeight="false" outlineLevel="0" collapsed="false">
      <c r="A206" s="118" t="s">
        <v>580</v>
      </c>
      <c r="B206" s="124" t="s">
        <v>581</v>
      </c>
      <c r="C206" s="120" t="s">
        <v>10</v>
      </c>
      <c r="D206" s="125" t="s">
        <v>582</v>
      </c>
      <c r="E206" s="122" t="s">
        <v>583</v>
      </c>
      <c r="F206" s="120" t="s">
        <v>13</v>
      </c>
      <c r="G206" s="126" t="n">
        <v>275.75</v>
      </c>
      <c r="H206" s="9"/>
      <c r="I206" s="9"/>
      <c r="J206" s="9"/>
      <c r="K206" s="4"/>
      <c r="L206" s="4"/>
      <c r="M206" s="4"/>
      <c r="N206" s="4"/>
      <c r="O206" s="4"/>
      <c r="P206" s="4"/>
      <c r="Q206" s="4"/>
    </row>
    <row r="207" customFormat="false" ht="29.85" hidden="false" customHeight="false" outlineLevel="0" collapsed="false">
      <c r="A207" s="118" t="s">
        <v>584</v>
      </c>
      <c r="B207" s="124" t="s">
        <v>585</v>
      </c>
      <c r="C207" s="120" t="s">
        <v>10</v>
      </c>
      <c r="D207" s="125" t="s">
        <v>586</v>
      </c>
      <c r="E207" s="122" t="s">
        <v>587</v>
      </c>
      <c r="F207" s="120" t="s">
        <v>13</v>
      </c>
      <c r="G207" s="126" t="n">
        <v>1103</v>
      </c>
      <c r="H207" s="9"/>
      <c r="I207" s="9"/>
      <c r="J207" s="9"/>
      <c r="K207" s="4"/>
      <c r="L207" s="4"/>
      <c r="M207" s="4"/>
      <c r="N207" s="4"/>
      <c r="O207" s="4"/>
      <c r="P207" s="4"/>
      <c r="Q207" s="4"/>
    </row>
    <row r="208" customFormat="false" ht="29.85" hidden="false" customHeight="false" outlineLevel="0" collapsed="false">
      <c r="A208" s="118" t="s">
        <v>588</v>
      </c>
      <c r="B208" s="124" t="s">
        <v>585</v>
      </c>
      <c r="C208" s="120" t="s">
        <v>10</v>
      </c>
      <c r="D208" s="125" t="s">
        <v>589</v>
      </c>
      <c r="E208" s="122" t="s">
        <v>590</v>
      </c>
      <c r="F208" s="120" t="s">
        <v>13</v>
      </c>
      <c r="G208" s="126" t="n">
        <v>1450</v>
      </c>
      <c r="H208" s="9"/>
      <c r="I208" s="9"/>
      <c r="J208" s="9"/>
      <c r="K208" s="4"/>
      <c r="L208" s="4"/>
      <c r="M208" s="4"/>
      <c r="N208" s="4"/>
      <c r="O208" s="4"/>
      <c r="P208" s="4"/>
      <c r="Q208" s="4"/>
    </row>
    <row r="209" customFormat="false" ht="24.45" hidden="false" customHeight="true" outlineLevel="0" collapsed="false">
      <c r="A209" s="137" t="s">
        <v>591</v>
      </c>
      <c r="B209" s="137"/>
      <c r="C209" s="137"/>
      <c r="D209" s="137"/>
      <c r="E209" s="137"/>
      <c r="F209" s="137"/>
      <c r="G209" s="137"/>
      <c r="H209" s="7"/>
      <c r="I209" s="7"/>
      <c r="J209" s="7"/>
      <c r="K209" s="4"/>
      <c r="L209" s="4"/>
      <c r="M209" s="4"/>
      <c r="N209" s="4"/>
      <c r="O209" s="4"/>
      <c r="P209" s="4"/>
      <c r="Q209" s="4"/>
    </row>
    <row r="210" customFormat="false" ht="17.25" hidden="false" customHeight="false" outlineLevel="0" collapsed="false">
      <c r="A210" s="118" t="s">
        <v>592</v>
      </c>
      <c r="B210" s="124" t="s">
        <v>593</v>
      </c>
      <c r="C210" s="120" t="s">
        <v>10</v>
      </c>
      <c r="D210" s="125" t="s">
        <v>594</v>
      </c>
      <c r="E210" s="122" t="s">
        <v>595</v>
      </c>
      <c r="F210" s="120" t="s">
        <v>13</v>
      </c>
      <c r="G210" s="126" t="n">
        <v>290</v>
      </c>
      <c r="H210" s="7"/>
      <c r="I210" s="7"/>
      <c r="J210" s="7"/>
      <c r="K210" s="4"/>
      <c r="L210" s="4"/>
      <c r="M210" s="4"/>
      <c r="N210" s="4"/>
      <c r="O210" s="4"/>
      <c r="P210" s="4"/>
      <c r="Q210" s="4"/>
    </row>
    <row r="211" customFormat="false" ht="29.85" hidden="false" customHeight="false" outlineLevel="0" collapsed="false">
      <c r="A211" s="118" t="s">
        <v>596</v>
      </c>
      <c r="B211" s="124" t="s">
        <v>593</v>
      </c>
      <c r="C211" s="120" t="s">
        <v>10</v>
      </c>
      <c r="D211" s="125" t="s">
        <v>597</v>
      </c>
      <c r="E211" s="122" t="s">
        <v>595</v>
      </c>
      <c r="F211" s="120" t="s">
        <v>13</v>
      </c>
      <c r="G211" s="126" t="n">
        <v>2421.3</v>
      </c>
      <c r="H211" s="7"/>
      <c r="I211" s="7"/>
      <c r="J211" s="7"/>
      <c r="K211" s="7"/>
      <c r="L211" s="7"/>
      <c r="M211" s="7"/>
      <c r="N211" s="7"/>
      <c r="O211" s="7"/>
      <c r="P211" s="7"/>
      <c r="Q211" s="7"/>
    </row>
    <row r="212" s="10" customFormat="true" ht="29.85" hidden="false" customHeight="false" outlineLevel="0" collapsed="false">
      <c r="A212" s="118" t="s">
        <v>598</v>
      </c>
      <c r="B212" s="124" t="s">
        <v>599</v>
      </c>
      <c r="C212" s="120" t="s">
        <v>10</v>
      </c>
      <c r="D212" s="125" t="s">
        <v>600</v>
      </c>
      <c r="E212" s="122" t="s">
        <v>595</v>
      </c>
      <c r="F212" s="120" t="s">
        <v>13</v>
      </c>
      <c r="G212" s="126" t="n">
        <v>1547</v>
      </c>
      <c r="H212" s="4" t="s">
        <v>601</v>
      </c>
      <c r="I212" s="4"/>
      <c r="J212" s="4"/>
      <c r="K212" s="9"/>
      <c r="L212" s="9"/>
      <c r="M212" s="9"/>
      <c r="N212" s="9"/>
      <c r="O212" s="9"/>
      <c r="P212" s="9"/>
      <c r="Q212" s="9"/>
    </row>
    <row r="213" customFormat="false" ht="72.35" hidden="false" customHeight="false" outlineLevel="0" collapsed="false">
      <c r="A213" s="118" t="s">
        <v>602</v>
      </c>
      <c r="B213" s="124" t="s">
        <v>603</v>
      </c>
      <c r="C213" s="120" t="s">
        <v>25</v>
      </c>
      <c r="D213" s="125" t="s">
        <v>604</v>
      </c>
      <c r="E213" s="122" t="s">
        <v>605</v>
      </c>
      <c r="F213" s="120" t="s">
        <v>13</v>
      </c>
      <c r="G213" s="126" t="n">
        <v>470</v>
      </c>
      <c r="H213" s="4"/>
      <c r="I213" s="4"/>
      <c r="J213" s="4"/>
      <c r="K213" s="42" t="n">
        <v>32</v>
      </c>
      <c r="L213" s="42" t="n">
        <f aca="false">I221*J221*K213</f>
        <v>64</v>
      </c>
      <c r="M213" s="4"/>
      <c r="N213" s="4"/>
      <c r="O213" s="4"/>
      <c r="P213" s="4"/>
      <c r="Q213" s="4"/>
    </row>
    <row r="214" customFormat="false" ht="44" hidden="false" customHeight="false" outlineLevel="0" collapsed="false">
      <c r="A214" s="118" t="s">
        <v>606</v>
      </c>
      <c r="B214" s="124" t="s">
        <v>607</v>
      </c>
      <c r="C214" s="120" t="s">
        <v>31</v>
      </c>
      <c r="D214" s="125" t="s">
        <v>608</v>
      </c>
      <c r="E214" s="122" t="s">
        <v>609</v>
      </c>
      <c r="F214" s="120" t="s">
        <v>13</v>
      </c>
      <c r="G214" s="126" t="n">
        <v>600</v>
      </c>
      <c r="H214" s="4"/>
      <c r="I214" s="42" t="s">
        <v>610</v>
      </c>
      <c r="J214" s="4"/>
      <c r="K214" s="56"/>
      <c r="L214" s="42" t="s">
        <v>130</v>
      </c>
      <c r="M214" s="4"/>
      <c r="N214" s="4"/>
      <c r="O214" s="4"/>
      <c r="P214" s="4"/>
      <c r="Q214" s="4"/>
    </row>
    <row r="215" customFormat="false" ht="58.2" hidden="false" customHeight="false" outlineLevel="0" collapsed="false">
      <c r="A215" s="118" t="s">
        <v>611</v>
      </c>
      <c r="B215" s="124" t="s">
        <v>612</v>
      </c>
      <c r="C215" s="120" t="s">
        <v>31</v>
      </c>
      <c r="D215" s="125" t="s">
        <v>613</v>
      </c>
      <c r="E215" s="122" t="s">
        <v>614</v>
      </c>
      <c r="F215" s="120" t="s">
        <v>13</v>
      </c>
      <c r="G215" s="126" t="n">
        <f aca="false">5600+171*6</f>
        <v>6626</v>
      </c>
      <c r="H215" s="4"/>
      <c r="I215" s="4"/>
      <c r="J215" s="4"/>
      <c r="K215" s="42" t="n">
        <v>32</v>
      </c>
      <c r="L215" s="42" t="n">
        <f aca="false">I223*J223*K215</f>
        <v>384</v>
      </c>
      <c r="M215" s="4"/>
      <c r="N215" s="4"/>
      <c r="O215" s="4"/>
      <c r="P215" s="4"/>
      <c r="Q215" s="4"/>
    </row>
    <row r="216" customFormat="false" ht="29.85" hidden="false" customHeight="false" outlineLevel="0" collapsed="false">
      <c r="A216" s="118" t="s">
        <v>615</v>
      </c>
      <c r="B216" s="124" t="s">
        <v>616</v>
      </c>
      <c r="C216" s="120" t="s">
        <v>10</v>
      </c>
      <c r="D216" s="125" t="s">
        <v>617</v>
      </c>
      <c r="E216" s="122" t="s">
        <v>618</v>
      </c>
      <c r="F216" s="120" t="s">
        <v>13</v>
      </c>
      <c r="G216" s="126" t="n">
        <v>300</v>
      </c>
      <c r="H216" s="7"/>
      <c r="I216" s="7"/>
      <c r="J216" s="7"/>
      <c r="K216" s="56"/>
      <c r="L216" s="42" t="s">
        <v>130</v>
      </c>
      <c r="M216" s="4"/>
      <c r="N216" s="4"/>
      <c r="O216" s="4"/>
      <c r="P216" s="4"/>
      <c r="Q216" s="4"/>
    </row>
    <row r="217" customFormat="false" ht="17.25" hidden="false" customHeight="false" outlineLevel="0" collapsed="false">
      <c r="A217" s="156" t="s">
        <v>619</v>
      </c>
      <c r="B217" s="157"/>
      <c r="C217" s="158"/>
      <c r="D217" s="159"/>
      <c r="E217" s="160"/>
      <c r="F217" s="158"/>
      <c r="G217" s="161"/>
      <c r="H217" s="7"/>
      <c r="I217" s="7"/>
      <c r="J217" s="7"/>
      <c r="K217" s="56"/>
      <c r="L217" s="42"/>
      <c r="M217" s="4"/>
      <c r="N217" s="4"/>
      <c r="O217" s="4"/>
      <c r="P217" s="4"/>
      <c r="Q217" s="4"/>
    </row>
    <row r="218" customFormat="false" ht="58.2" hidden="false" customHeight="false" outlineLevel="0" collapsed="false">
      <c r="A218" s="118" t="s">
        <v>620</v>
      </c>
      <c r="B218" s="124" t="s">
        <v>621</v>
      </c>
      <c r="C218" s="120" t="s">
        <v>10</v>
      </c>
      <c r="D218" s="125" t="s">
        <v>622</v>
      </c>
      <c r="E218" s="122" t="s">
        <v>623</v>
      </c>
      <c r="F218" s="120" t="s">
        <v>624</v>
      </c>
      <c r="G218" s="126" t="n">
        <v>1075.82</v>
      </c>
      <c r="H218" s="4"/>
      <c r="I218" s="4" t="s">
        <v>625</v>
      </c>
      <c r="J218" s="42"/>
      <c r="K218" s="42"/>
      <c r="L218" s="42"/>
      <c r="M218" s="4"/>
      <c r="N218" s="4"/>
      <c r="O218" s="4"/>
      <c r="P218" s="4"/>
      <c r="Q218" s="4"/>
    </row>
    <row r="219" customFormat="false" ht="58.2" hidden="false" customHeight="false" outlineLevel="0" collapsed="false">
      <c r="A219" s="118" t="s">
        <v>626</v>
      </c>
      <c r="B219" s="124" t="s">
        <v>627</v>
      </c>
      <c r="C219" s="120" t="s">
        <v>10</v>
      </c>
      <c r="D219" s="125" t="s">
        <v>628</v>
      </c>
      <c r="E219" s="122" t="s">
        <v>629</v>
      </c>
      <c r="F219" s="120" t="s">
        <v>624</v>
      </c>
      <c r="G219" s="126" t="n">
        <v>1213.16</v>
      </c>
      <c r="H219" s="4"/>
      <c r="I219" s="4" t="s">
        <v>630</v>
      </c>
      <c r="J219" s="42"/>
      <c r="K219" s="42"/>
      <c r="L219" s="42"/>
      <c r="M219" s="4"/>
      <c r="N219" s="4"/>
      <c r="O219" s="4"/>
      <c r="P219" s="4"/>
      <c r="Q219" s="4"/>
    </row>
    <row r="220" customFormat="false" ht="24.45" hidden="false" customHeight="false" outlineLevel="0" collapsed="false">
      <c r="A220" s="7"/>
      <c r="B220" s="7"/>
      <c r="C220" s="7"/>
      <c r="D220" s="7"/>
      <c r="E220" s="7"/>
      <c r="F220" s="7"/>
      <c r="G220" s="7"/>
      <c r="H220" s="9"/>
      <c r="I220" s="9"/>
      <c r="J220" s="9"/>
      <c r="K220" s="42" t="n">
        <v>32</v>
      </c>
      <c r="L220" s="42" t="n">
        <f aca="false">I225*J225*K220</f>
        <v>288</v>
      </c>
      <c r="M220" s="4"/>
      <c r="N220" s="4"/>
      <c r="O220" s="4"/>
      <c r="P220" s="4"/>
      <c r="Q220" s="4"/>
    </row>
    <row r="221" customFormat="false" ht="24.45" hidden="false" customHeight="true" outlineLevel="0" collapsed="false">
      <c r="A221" s="162" t="s">
        <v>631</v>
      </c>
      <c r="B221" s="162"/>
      <c r="C221" s="162"/>
      <c r="D221" s="162"/>
      <c r="E221" s="162"/>
      <c r="F221" s="162"/>
      <c r="G221" s="162"/>
      <c r="H221" s="4"/>
      <c r="I221" s="42" t="n">
        <v>1</v>
      </c>
      <c r="J221" s="42" t="n">
        <v>2</v>
      </c>
      <c r="K221" s="56"/>
      <c r="L221" s="42" t="s">
        <v>130</v>
      </c>
      <c r="M221" s="4"/>
      <c r="N221" s="4"/>
      <c r="O221" s="4"/>
      <c r="P221" s="4"/>
      <c r="Q221" s="4"/>
    </row>
    <row r="222" customFormat="false" ht="72.35" hidden="false" customHeight="false" outlineLevel="0" collapsed="false">
      <c r="A222" s="101" t="s">
        <v>632</v>
      </c>
      <c r="B222" s="102" t="s">
        <v>633</v>
      </c>
      <c r="C222" s="103" t="s">
        <v>10</v>
      </c>
      <c r="D222" s="104" t="s">
        <v>634</v>
      </c>
      <c r="E222" s="110" t="s">
        <v>635</v>
      </c>
      <c r="F222" s="103" t="s">
        <v>624</v>
      </c>
      <c r="G222" s="163" t="n">
        <f aca="false">(9.42*3+L213+200+60)*1.4</f>
        <v>493.164</v>
      </c>
      <c r="H222" s="4"/>
      <c r="I222" s="42" t="s">
        <v>636</v>
      </c>
      <c r="J222" s="42" t="s">
        <v>90</v>
      </c>
      <c r="K222" s="42" t="n">
        <v>32</v>
      </c>
      <c r="L222" s="42" t="n">
        <f aca="false">I227*J227*K222</f>
        <v>224</v>
      </c>
      <c r="M222" s="4"/>
      <c r="N222" s="4"/>
      <c r="O222" s="4"/>
      <c r="P222" s="4"/>
      <c r="Q222" s="4"/>
    </row>
    <row r="223" customFormat="false" ht="17.25" hidden="false" customHeight="false" outlineLevel="0" collapsed="false">
      <c r="A223" s="101"/>
      <c r="B223" s="102"/>
      <c r="C223" s="103"/>
      <c r="D223" s="104"/>
      <c r="E223" s="110"/>
      <c r="F223" s="103"/>
      <c r="G223" s="163"/>
      <c r="H223" s="4"/>
      <c r="I223" s="42" t="n">
        <v>1</v>
      </c>
      <c r="J223" s="42" t="n">
        <v>12</v>
      </c>
      <c r="K223" s="56"/>
      <c r="L223" s="42" t="s">
        <v>130</v>
      </c>
      <c r="M223" s="4"/>
      <c r="N223" s="4"/>
      <c r="O223" s="4"/>
      <c r="P223" s="4"/>
      <c r="Q223" s="4"/>
    </row>
    <row r="224" customFormat="false" ht="58.2" hidden="false" customHeight="false" outlineLevel="0" collapsed="false">
      <c r="A224" s="101" t="s">
        <v>637</v>
      </c>
      <c r="B224" s="102" t="s">
        <v>638</v>
      </c>
      <c r="C224" s="103" t="s">
        <v>10</v>
      </c>
      <c r="D224" s="164" t="s">
        <v>639</v>
      </c>
      <c r="E224" s="110" t="s">
        <v>640</v>
      </c>
      <c r="F224" s="103" t="s">
        <v>624</v>
      </c>
      <c r="G224" s="163" t="n">
        <f aca="false">(D237*2+D239*16+L215)*1.4</f>
        <v>684.7232</v>
      </c>
      <c r="H224" s="4"/>
      <c r="I224" s="42" t="s">
        <v>636</v>
      </c>
      <c r="J224" s="42" t="s">
        <v>90</v>
      </c>
      <c r="K224" s="42" t="n">
        <v>32</v>
      </c>
      <c r="L224" s="42" t="n">
        <f aca="false">I229*J229*K224</f>
        <v>288</v>
      </c>
      <c r="M224" s="4"/>
      <c r="N224" s="4"/>
      <c r="O224" s="4"/>
      <c r="P224" s="4"/>
      <c r="Q224" s="4"/>
    </row>
    <row r="225" customFormat="false" ht="17.25" hidden="false" customHeight="false" outlineLevel="0" collapsed="false">
      <c r="A225" s="101"/>
      <c r="B225" s="102"/>
      <c r="C225" s="103"/>
      <c r="D225" s="104"/>
      <c r="E225" s="110"/>
      <c r="F225" s="103"/>
      <c r="G225" s="163"/>
      <c r="H225" s="4"/>
      <c r="I225" s="42" t="n">
        <v>1</v>
      </c>
      <c r="J225" s="42" t="n">
        <v>9</v>
      </c>
      <c r="K225" s="56"/>
      <c r="L225" s="42" t="s">
        <v>130</v>
      </c>
      <c r="M225" s="4"/>
      <c r="N225" s="4"/>
      <c r="O225" s="4"/>
      <c r="P225" s="4"/>
      <c r="Q225" s="4"/>
    </row>
    <row r="226" customFormat="false" ht="58.2" hidden="false" customHeight="false" outlineLevel="0" collapsed="false">
      <c r="A226" s="101" t="s">
        <v>641</v>
      </c>
      <c r="B226" s="102" t="s">
        <v>642</v>
      </c>
      <c r="C226" s="103" t="s">
        <v>10</v>
      </c>
      <c r="D226" s="164" t="s">
        <v>643</v>
      </c>
      <c r="E226" s="110" t="s">
        <v>640</v>
      </c>
      <c r="F226" s="103" t="s">
        <v>624</v>
      </c>
      <c r="G226" s="163" t="n">
        <f aca="false">(D237*2+D238*4+D240*16+L220)*1.4</f>
        <v>537.50144</v>
      </c>
      <c r="H226" s="4"/>
      <c r="I226" s="42" t="s">
        <v>636</v>
      </c>
      <c r="J226" s="42" t="s">
        <v>90</v>
      </c>
      <c r="K226" s="42" t="n">
        <v>32</v>
      </c>
      <c r="L226" s="42" t="n">
        <f aca="false">I231*J231*K226</f>
        <v>192</v>
      </c>
      <c r="M226" s="4"/>
      <c r="N226" s="4"/>
      <c r="O226" s="4"/>
      <c r="P226" s="4"/>
      <c r="Q226" s="4"/>
    </row>
    <row r="227" customFormat="false" ht="17.25" hidden="false" customHeight="false" outlineLevel="0" collapsed="false">
      <c r="A227" s="101"/>
      <c r="B227" s="102"/>
      <c r="C227" s="103"/>
      <c r="D227" s="104"/>
      <c r="E227" s="110"/>
      <c r="F227" s="103"/>
      <c r="G227" s="163"/>
      <c r="H227" s="4"/>
      <c r="I227" s="42" t="n">
        <v>1</v>
      </c>
      <c r="J227" s="42" t="n">
        <v>7</v>
      </c>
      <c r="K227" s="56"/>
      <c r="L227" s="42" t="s">
        <v>130</v>
      </c>
      <c r="M227" s="4"/>
      <c r="N227" s="4"/>
      <c r="O227" s="4"/>
      <c r="P227" s="4"/>
      <c r="Q227" s="4"/>
    </row>
    <row r="228" customFormat="false" ht="44" hidden="false" customHeight="false" outlineLevel="0" collapsed="false">
      <c r="A228" s="101" t="s">
        <v>644</v>
      </c>
      <c r="B228" s="102" t="s">
        <v>645</v>
      </c>
      <c r="C228" s="103" t="s">
        <v>10</v>
      </c>
      <c r="D228" s="104" t="s">
        <v>646</v>
      </c>
      <c r="E228" s="110" t="s">
        <v>640</v>
      </c>
      <c r="F228" s="103" t="s">
        <v>624</v>
      </c>
      <c r="G228" s="163" t="n">
        <f aca="false">(D237*4+D241*11+L222)*1.4</f>
        <v>490.112</v>
      </c>
      <c r="H228" s="4"/>
      <c r="I228" s="42" t="s">
        <v>636</v>
      </c>
      <c r="J228" s="42" t="s">
        <v>90</v>
      </c>
      <c r="K228" s="42" t="n">
        <v>32</v>
      </c>
      <c r="L228" s="42" t="n">
        <f aca="false">I233*J233*K228</f>
        <v>64</v>
      </c>
      <c r="M228" s="4"/>
      <c r="N228" s="4"/>
      <c r="O228" s="4"/>
      <c r="P228" s="4"/>
      <c r="Q228" s="4"/>
    </row>
    <row r="229" customFormat="false" ht="17.25" hidden="false" customHeight="false" outlineLevel="0" collapsed="false">
      <c r="A229" s="101"/>
      <c r="B229" s="102"/>
      <c r="C229" s="103"/>
      <c r="D229" s="104"/>
      <c r="E229" s="110"/>
      <c r="F229" s="103"/>
      <c r="G229" s="163"/>
      <c r="H229" s="4"/>
      <c r="I229" s="42" t="n">
        <v>1</v>
      </c>
      <c r="J229" s="42" t="n">
        <v>9</v>
      </c>
      <c r="K229" s="4"/>
      <c r="L229" s="4"/>
      <c r="M229" s="4"/>
      <c r="N229" s="4"/>
      <c r="O229" s="4"/>
      <c r="P229" s="4"/>
      <c r="Q229" s="4"/>
    </row>
    <row r="230" customFormat="false" ht="58.2" hidden="false" customHeight="false" outlineLevel="0" collapsed="false">
      <c r="A230" s="101" t="s">
        <v>647</v>
      </c>
      <c r="B230" s="102" t="s">
        <v>648</v>
      </c>
      <c r="C230" s="103" t="s">
        <v>10</v>
      </c>
      <c r="D230" s="164" t="s">
        <v>649</v>
      </c>
      <c r="E230" s="110" t="s">
        <v>640</v>
      </c>
      <c r="F230" s="103" t="s">
        <v>624</v>
      </c>
      <c r="G230" s="163" t="n">
        <f aca="false">G226</f>
        <v>537.50144</v>
      </c>
      <c r="H230" s="4"/>
      <c r="I230" s="42" t="s">
        <v>636</v>
      </c>
      <c r="J230" s="42" t="s">
        <v>90</v>
      </c>
      <c r="K230" s="4"/>
      <c r="L230" s="4"/>
      <c r="M230" s="4"/>
      <c r="N230" s="4"/>
      <c r="O230" s="4"/>
      <c r="P230" s="4"/>
      <c r="Q230" s="4"/>
    </row>
    <row r="231" customFormat="false" ht="17.25" hidden="false" customHeight="false" outlineLevel="0" collapsed="false">
      <c r="A231" s="101"/>
      <c r="B231" s="102"/>
      <c r="C231" s="103"/>
      <c r="D231" s="104"/>
      <c r="E231" s="110"/>
      <c r="F231" s="103"/>
      <c r="G231" s="163"/>
      <c r="H231" s="4"/>
      <c r="I231" s="42" t="n">
        <v>1</v>
      </c>
      <c r="J231" s="42" t="n">
        <v>6</v>
      </c>
      <c r="K231" s="4"/>
      <c r="L231" s="4"/>
      <c r="M231" s="4"/>
      <c r="N231" s="4"/>
      <c r="O231" s="4"/>
      <c r="P231" s="4"/>
      <c r="Q231" s="4"/>
    </row>
    <row r="232" customFormat="false" ht="72.35" hidden="false" customHeight="false" outlineLevel="0" collapsed="false">
      <c r="A232" s="101" t="s">
        <v>650</v>
      </c>
      <c r="B232" s="102" t="s">
        <v>651</v>
      </c>
      <c r="C232" s="103" t="s">
        <v>10</v>
      </c>
      <c r="D232" s="164" t="s">
        <v>652</v>
      </c>
      <c r="E232" s="110" t="s">
        <v>653</v>
      </c>
      <c r="F232" s="103" t="s">
        <v>624</v>
      </c>
      <c r="G232" s="163" t="n">
        <f aca="false">G226+150</f>
        <v>687.50144</v>
      </c>
      <c r="H232" s="4"/>
      <c r="I232" s="42" t="s">
        <v>636</v>
      </c>
      <c r="J232" s="42" t="s">
        <v>90</v>
      </c>
      <c r="K232" s="4"/>
      <c r="L232" s="4"/>
      <c r="M232" s="4"/>
      <c r="N232" s="4"/>
      <c r="O232" s="4"/>
      <c r="P232" s="4"/>
      <c r="Q232" s="4"/>
    </row>
    <row r="233" customFormat="false" ht="17.25" hidden="false" customHeight="false" outlineLevel="0" collapsed="false">
      <c r="A233" s="101"/>
      <c r="B233" s="102"/>
      <c r="C233" s="103"/>
      <c r="D233" s="104"/>
      <c r="E233" s="110"/>
      <c r="F233" s="103"/>
      <c r="G233" s="163"/>
      <c r="H233" s="4"/>
      <c r="I233" s="42" t="n">
        <v>1</v>
      </c>
      <c r="J233" s="42" t="n">
        <v>2</v>
      </c>
      <c r="K233" s="4"/>
      <c r="L233" s="4"/>
      <c r="M233" s="4"/>
      <c r="N233" s="4"/>
      <c r="O233" s="4"/>
      <c r="P233" s="4"/>
      <c r="Q233" s="4"/>
    </row>
    <row r="234" customFormat="false" ht="44" hidden="false" customHeight="false" outlineLevel="0" collapsed="false">
      <c r="A234" s="101" t="s">
        <v>654</v>
      </c>
      <c r="B234" s="102" t="s">
        <v>655</v>
      </c>
      <c r="C234" s="103" t="s">
        <v>10</v>
      </c>
      <c r="D234" s="164" t="s">
        <v>656</v>
      </c>
      <c r="E234" s="110" t="s">
        <v>657</v>
      </c>
      <c r="F234" s="103" t="s">
        <v>624</v>
      </c>
      <c r="G234" s="163" t="n">
        <f aca="false">D242*0.5+L228</f>
        <v>90.7</v>
      </c>
      <c r="H234" s="4"/>
      <c r="I234" s="4"/>
      <c r="J234" s="4"/>
      <c r="K234" s="4"/>
      <c r="L234" s="4"/>
      <c r="M234" s="4"/>
      <c r="N234" s="4"/>
      <c r="O234" s="4"/>
      <c r="P234" s="4"/>
      <c r="Q234" s="4"/>
    </row>
    <row r="235" customFormat="false" ht="17.25" hidden="false" customHeight="false" outlineLevel="0" collapsed="false">
      <c r="A235" s="4"/>
      <c r="B235" s="4"/>
      <c r="C235" s="4"/>
      <c r="D235" s="5"/>
      <c r="E235" s="4"/>
      <c r="F235" s="4"/>
      <c r="G235" s="6"/>
      <c r="H235" s="4"/>
      <c r="I235" s="4"/>
      <c r="J235" s="4"/>
      <c r="K235" s="4"/>
      <c r="L235" s="4"/>
      <c r="M235" s="4"/>
      <c r="N235" s="4"/>
      <c r="O235" s="4"/>
      <c r="P235" s="4"/>
      <c r="Q235" s="4"/>
    </row>
    <row r="236" customFormat="false" ht="17.25" hidden="false" customHeight="false" outlineLevel="0" collapsed="false">
      <c r="A236" s="165"/>
      <c r="B236" s="165" t="s">
        <v>658</v>
      </c>
      <c r="C236" s="165" t="s">
        <v>659</v>
      </c>
      <c r="D236" s="166"/>
      <c r="E236" s="4"/>
      <c r="F236" s="4"/>
      <c r="G236" s="6"/>
      <c r="H236" s="4"/>
      <c r="I236" s="4"/>
      <c r="J236" s="4"/>
      <c r="K236" s="4"/>
      <c r="L236" s="4"/>
      <c r="M236" s="4"/>
      <c r="N236" s="4"/>
      <c r="O236" s="4"/>
      <c r="P236" s="4"/>
      <c r="Q236" s="4"/>
    </row>
    <row r="237" customFormat="false" ht="17.25" hidden="false" customHeight="false" outlineLevel="0" collapsed="false">
      <c r="A237" s="165" t="s">
        <v>660</v>
      </c>
      <c r="B237" s="165" t="n">
        <v>4.52</v>
      </c>
      <c r="C237" s="165" t="n">
        <v>1.6</v>
      </c>
      <c r="D237" s="167" t="n">
        <f aca="false">B237*C237</f>
        <v>7.232</v>
      </c>
      <c r="E237" s="4"/>
      <c r="F237" s="4"/>
      <c r="G237" s="6"/>
      <c r="H237" s="4"/>
      <c r="I237" s="4"/>
      <c r="J237" s="4"/>
      <c r="K237" s="7"/>
      <c r="L237" s="7"/>
      <c r="M237" s="7"/>
      <c r="N237" s="7"/>
      <c r="O237" s="7"/>
      <c r="P237" s="7"/>
      <c r="Q237" s="7"/>
    </row>
    <row r="238" customFormat="false" ht="17.25" hidden="false" customHeight="false" outlineLevel="0" collapsed="false">
      <c r="A238" s="165" t="s">
        <v>661</v>
      </c>
      <c r="B238" s="165" t="n">
        <v>3.54</v>
      </c>
      <c r="C238" s="165" t="n">
        <v>1.36</v>
      </c>
      <c r="D238" s="167" t="n">
        <f aca="false">B238*C238</f>
        <v>4.8144</v>
      </c>
      <c r="E238" s="4"/>
      <c r="F238" s="4"/>
      <c r="G238" s="6"/>
      <c r="H238" s="4"/>
      <c r="I238" s="4"/>
      <c r="J238" s="4"/>
      <c r="K238" s="7"/>
      <c r="L238" s="7"/>
      <c r="M238" s="7"/>
      <c r="N238" s="7"/>
      <c r="O238" s="7"/>
      <c r="P238" s="7"/>
      <c r="Q238" s="7"/>
    </row>
    <row r="239" s="10" customFormat="true" ht="24.45" hidden="false" customHeight="false" outlineLevel="0" collapsed="false">
      <c r="A239" s="165" t="s">
        <v>661</v>
      </c>
      <c r="B239" s="165" t="n">
        <v>3.54</v>
      </c>
      <c r="C239" s="165" t="n">
        <v>1.6</v>
      </c>
      <c r="D239" s="167" t="n">
        <f aca="false">B239*C239</f>
        <v>5.664</v>
      </c>
      <c r="E239" s="4"/>
      <c r="F239" s="4"/>
      <c r="G239" s="6" t="n">
        <f aca="false">G222*4+G224+G226</f>
        <v>3194.88064</v>
      </c>
      <c r="H239" s="4"/>
      <c r="I239" s="4"/>
      <c r="J239" s="4"/>
      <c r="K239" s="9"/>
      <c r="L239" s="9"/>
      <c r="M239" s="9"/>
      <c r="N239" s="9"/>
      <c r="O239" s="9"/>
      <c r="P239" s="9"/>
      <c r="Q239" s="9"/>
    </row>
    <row r="240" customFormat="false" ht="17.25" hidden="false" customHeight="false" outlineLevel="0" collapsed="false">
      <c r="A240" s="165" t="s">
        <v>662</v>
      </c>
      <c r="B240" s="165" t="n">
        <v>2.43</v>
      </c>
      <c r="C240" s="165" t="n">
        <v>1.6</v>
      </c>
      <c r="D240" s="167" t="n">
        <f aca="false">B240*C240</f>
        <v>3.888</v>
      </c>
      <c r="E240" s="4"/>
      <c r="F240" s="4"/>
      <c r="G240" s="6"/>
      <c r="H240" s="4"/>
      <c r="I240" s="4"/>
      <c r="J240" s="4"/>
      <c r="K240" s="7"/>
      <c r="L240" s="7"/>
      <c r="M240" s="7"/>
      <c r="N240" s="7"/>
      <c r="O240" s="7"/>
      <c r="P240" s="7"/>
      <c r="Q240" s="7"/>
    </row>
    <row r="241" customFormat="false" ht="17.25" hidden="false" customHeight="false" outlineLevel="0" collapsed="false">
      <c r="A241" s="165" t="s">
        <v>663</v>
      </c>
      <c r="B241" s="165" t="n">
        <v>5.52</v>
      </c>
      <c r="C241" s="165" t="n">
        <v>1.6</v>
      </c>
      <c r="D241" s="167" t="n">
        <f aca="false">B241*C241</f>
        <v>8.832</v>
      </c>
      <c r="E241" s="4"/>
      <c r="F241" s="4"/>
      <c r="G241" s="6"/>
      <c r="H241" s="4"/>
      <c r="I241" s="4"/>
      <c r="J241" s="4"/>
      <c r="K241" s="7"/>
      <c r="L241" s="7"/>
      <c r="M241" s="7"/>
      <c r="N241" s="7"/>
      <c r="O241" s="7"/>
      <c r="P241" s="7"/>
      <c r="Q241" s="7"/>
    </row>
    <row r="242" customFormat="false" ht="17.25" hidden="false" customHeight="false" outlineLevel="0" collapsed="false">
      <c r="A242" s="165" t="s">
        <v>664</v>
      </c>
      <c r="B242" s="165" t="n">
        <v>53.4</v>
      </c>
      <c r="C242" s="165" t="n">
        <v>1</v>
      </c>
      <c r="D242" s="167" t="n">
        <f aca="false">B242*C242</f>
        <v>53.4</v>
      </c>
      <c r="E242" s="4"/>
      <c r="F242" s="4"/>
      <c r="G242" s="6"/>
      <c r="H242" s="7"/>
      <c r="I242" s="7"/>
      <c r="J242" s="7"/>
      <c r="K242" s="7"/>
      <c r="L242" s="7"/>
      <c r="M242" s="7"/>
      <c r="N242" s="7"/>
      <c r="O242" s="7"/>
      <c r="P242" s="7"/>
      <c r="Q242" s="7"/>
    </row>
    <row r="243" customFormat="false" ht="17.25" hidden="false" customHeight="false" outlineLevel="0" collapsed="false">
      <c r="A243" s="7"/>
      <c r="B243" s="7"/>
      <c r="C243" s="7"/>
      <c r="D243" s="7"/>
      <c r="E243" s="7"/>
      <c r="F243" s="7"/>
      <c r="G243" s="7"/>
      <c r="H243" s="7"/>
      <c r="I243" s="7"/>
      <c r="J243" s="7"/>
      <c r="K243" s="7"/>
      <c r="L243" s="7"/>
      <c r="M243" s="7"/>
      <c r="N243" s="7"/>
      <c r="O243" s="7"/>
      <c r="P243" s="7"/>
      <c r="Q243" s="7"/>
    </row>
    <row r="244" customFormat="false" ht="24.45" hidden="false" customHeight="false" outlineLevel="0" collapsed="false">
      <c r="A244" s="7"/>
      <c r="B244" s="7"/>
      <c r="C244" s="7"/>
      <c r="D244" s="7"/>
      <c r="E244" s="7"/>
      <c r="F244" s="7"/>
      <c r="G244" s="7"/>
      <c r="H244" s="9"/>
      <c r="I244" s="9"/>
      <c r="J244" s="9"/>
      <c r="K244" s="7"/>
      <c r="L244" s="7"/>
      <c r="M244" s="7"/>
      <c r="N244" s="7"/>
      <c r="O244" s="7"/>
      <c r="P244" s="7"/>
      <c r="Q244" s="7"/>
    </row>
    <row r="245" customFormat="false" ht="24.45" hidden="false" customHeight="true" outlineLevel="0" collapsed="false">
      <c r="A245" s="168" t="s">
        <v>665</v>
      </c>
      <c r="B245" s="168"/>
      <c r="C245" s="168"/>
      <c r="D245" s="168"/>
      <c r="E245" s="168"/>
      <c r="F245" s="168"/>
      <c r="G245" s="168"/>
      <c r="H245" s="7"/>
      <c r="I245" s="7"/>
      <c r="J245" s="7"/>
      <c r="K245" s="7"/>
      <c r="L245" s="7"/>
      <c r="M245" s="7"/>
      <c r="N245" s="7"/>
      <c r="O245" s="7"/>
      <c r="P245" s="7"/>
      <c r="Q245" s="7"/>
    </row>
    <row r="246" customFormat="false" ht="29.85" hidden="false" customHeight="false" outlineLevel="0" collapsed="false">
      <c r="A246" s="118" t="s">
        <v>666</v>
      </c>
      <c r="B246" s="169" t="s">
        <v>667</v>
      </c>
      <c r="C246" s="120" t="s">
        <v>10</v>
      </c>
      <c r="D246" s="125" t="s">
        <v>668</v>
      </c>
      <c r="E246" s="120" t="s">
        <v>669</v>
      </c>
      <c r="F246" s="120" t="s">
        <v>13</v>
      </c>
      <c r="G246" s="126" t="n">
        <v>229.75</v>
      </c>
      <c r="H246" s="7"/>
      <c r="I246" s="7"/>
      <c r="J246" s="7"/>
      <c r="K246" s="7"/>
      <c r="L246" s="7"/>
      <c r="M246" s="7"/>
      <c r="N246" s="7"/>
      <c r="O246" s="7"/>
      <c r="P246" s="7"/>
      <c r="Q246" s="7"/>
    </row>
    <row r="247" s="10" customFormat="true" ht="29.85" hidden="false" customHeight="false" outlineLevel="0" collapsed="false">
      <c r="A247" s="118" t="s">
        <v>670</v>
      </c>
      <c r="B247" s="169" t="s">
        <v>671</v>
      </c>
      <c r="C247" s="120" t="s">
        <v>10</v>
      </c>
      <c r="D247" s="125" t="s">
        <v>668</v>
      </c>
      <c r="E247" s="120" t="s">
        <v>672</v>
      </c>
      <c r="F247" s="120" t="s">
        <v>13</v>
      </c>
      <c r="G247" s="126" t="n">
        <v>117.35</v>
      </c>
      <c r="H247" s="7"/>
      <c r="I247" s="7"/>
      <c r="J247" s="7"/>
      <c r="K247" s="9"/>
      <c r="L247" s="9"/>
      <c r="M247" s="9"/>
      <c r="N247" s="9"/>
      <c r="O247" s="9"/>
      <c r="P247" s="9"/>
      <c r="Q247" s="9"/>
    </row>
    <row r="248" customFormat="false" ht="58.2" hidden="false" customHeight="false" outlineLevel="0" collapsed="false">
      <c r="A248" s="118" t="s">
        <v>673</v>
      </c>
      <c r="B248" s="169" t="s">
        <v>674</v>
      </c>
      <c r="C248" s="120" t="s">
        <v>10</v>
      </c>
      <c r="D248" s="125" t="s">
        <v>675</v>
      </c>
      <c r="E248" s="120" t="s">
        <v>676</v>
      </c>
      <c r="F248" s="120" t="s">
        <v>13</v>
      </c>
      <c r="G248" s="126" t="n">
        <v>330</v>
      </c>
      <c r="H248" s="7"/>
      <c r="I248" s="7"/>
      <c r="J248" s="7"/>
      <c r="K248" s="7"/>
      <c r="L248" s="7"/>
      <c r="M248" s="7"/>
      <c r="N248" s="7"/>
      <c r="O248" s="7"/>
      <c r="P248" s="7"/>
      <c r="Q248" s="7"/>
    </row>
    <row r="249" customFormat="false" ht="58.2" hidden="false" customHeight="false" outlineLevel="0" collapsed="false">
      <c r="A249" s="118" t="s">
        <v>677</v>
      </c>
      <c r="B249" s="169" t="s">
        <v>678</v>
      </c>
      <c r="C249" s="120" t="s">
        <v>10</v>
      </c>
      <c r="D249" s="125" t="s">
        <v>679</v>
      </c>
      <c r="E249" s="120" t="s">
        <v>680</v>
      </c>
      <c r="F249" s="120" t="s">
        <v>13</v>
      </c>
      <c r="G249" s="126" t="n">
        <v>232</v>
      </c>
      <c r="H249" s="7"/>
      <c r="I249" s="7"/>
      <c r="J249" s="7"/>
      <c r="K249" s="7"/>
      <c r="L249" s="7"/>
      <c r="M249" s="7"/>
      <c r="N249" s="7"/>
      <c r="O249" s="7"/>
      <c r="P249" s="7"/>
      <c r="Q249" s="7"/>
    </row>
    <row r="250" customFormat="false" ht="58.2" hidden="false" customHeight="false" outlineLevel="0" collapsed="false">
      <c r="A250" s="118" t="s">
        <v>681</v>
      </c>
      <c r="B250" s="169" t="s">
        <v>682</v>
      </c>
      <c r="C250" s="120" t="s">
        <v>10</v>
      </c>
      <c r="D250" s="125" t="s">
        <v>679</v>
      </c>
      <c r="E250" s="120" t="s">
        <v>683</v>
      </c>
      <c r="F250" s="120" t="s">
        <v>13</v>
      </c>
      <c r="G250" s="126" t="n">
        <v>568</v>
      </c>
      <c r="H250" s="7"/>
      <c r="I250" s="7"/>
      <c r="J250" s="7"/>
      <c r="K250" s="7"/>
      <c r="L250" s="7"/>
      <c r="M250" s="7"/>
      <c r="N250" s="7"/>
      <c r="O250" s="7"/>
      <c r="P250" s="7"/>
      <c r="Q250" s="7"/>
    </row>
    <row r="251" customFormat="false" ht="58.2" hidden="false" customHeight="false" outlineLevel="0" collapsed="false">
      <c r="A251" s="118" t="s">
        <v>684</v>
      </c>
      <c r="B251" s="169" t="s">
        <v>685</v>
      </c>
      <c r="C251" s="120" t="s">
        <v>25</v>
      </c>
      <c r="D251" s="125" t="s">
        <v>686</v>
      </c>
      <c r="E251" s="120" t="s">
        <v>687</v>
      </c>
      <c r="F251" s="120" t="s">
        <v>13</v>
      </c>
      <c r="G251" s="126" t="n">
        <v>43.29</v>
      </c>
      <c r="H251" s="7"/>
      <c r="I251" s="7"/>
      <c r="J251" s="7"/>
      <c r="K251" s="7"/>
      <c r="L251" s="7"/>
      <c r="M251" s="7"/>
      <c r="N251" s="7"/>
      <c r="O251" s="7"/>
      <c r="P251" s="7"/>
      <c r="Q251" s="7"/>
    </row>
    <row r="252" s="10" customFormat="true" ht="24.45" hidden="false" customHeight="false" outlineLevel="0" collapsed="false">
      <c r="A252" s="7"/>
      <c r="B252" s="7"/>
      <c r="C252" s="7"/>
      <c r="D252" s="7"/>
      <c r="E252" s="7"/>
      <c r="F252" s="7"/>
      <c r="G252" s="7"/>
      <c r="H252" s="9"/>
      <c r="I252" s="9"/>
      <c r="J252" s="9"/>
      <c r="K252" s="9"/>
      <c r="L252" s="9"/>
      <c r="M252" s="9"/>
      <c r="N252" s="9"/>
      <c r="O252" s="9"/>
      <c r="P252" s="9"/>
      <c r="Q252" s="9"/>
    </row>
    <row r="253" customFormat="false" ht="24.45" hidden="false" customHeight="true" outlineLevel="0" collapsed="false">
      <c r="A253" s="170" t="s">
        <v>688</v>
      </c>
      <c r="B253" s="170"/>
      <c r="C253" s="170"/>
      <c r="D253" s="170"/>
      <c r="E253" s="170"/>
      <c r="F253" s="170"/>
      <c r="G253" s="170"/>
      <c r="H253" s="7"/>
      <c r="I253" s="7"/>
      <c r="J253" s="7"/>
      <c r="K253" s="7"/>
      <c r="L253" s="7"/>
      <c r="M253" s="7"/>
      <c r="N253" s="7"/>
      <c r="O253" s="7"/>
      <c r="P253" s="7"/>
      <c r="Q253" s="7"/>
    </row>
    <row r="254" customFormat="false" ht="27" hidden="false" customHeight="true" outlineLevel="0" collapsed="false">
      <c r="A254" s="171" t="s">
        <v>689</v>
      </c>
      <c r="B254" s="172" t="s">
        <v>690</v>
      </c>
      <c r="C254" s="173" t="s">
        <v>90</v>
      </c>
      <c r="D254" s="173" t="s">
        <v>691</v>
      </c>
      <c r="E254" s="173" t="s">
        <v>13</v>
      </c>
      <c r="F254" s="173" t="s">
        <v>13</v>
      </c>
      <c r="G254" s="174" t="n">
        <v>69</v>
      </c>
      <c r="H254" s="4"/>
      <c r="I254" s="4"/>
      <c r="J254" s="4"/>
      <c r="K254" s="4"/>
      <c r="L254" s="7"/>
      <c r="M254" s="7"/>
      <c r="N254" s="7"/>
      <c r="O254" s="7"/>
      <c r="P254" s="7"/>
      <c r="Q254" s="7"/>
    </row>
    <row r="255" customFormat="false" ht="27" hidden="false" customHeight="true" outlineLevel="0" collapsed="false">
      <c r="A255" s="171" t="s">
        <v>692</v>
      </c>
      <c r="B255" s="172" t="s">
        <v>693</v>
      </c>
      <c r="C255" s="173" t="s">
        <v>90</v>
      </c>
      <c r="D255" s="173" t="s">
        <v>694</v>
      </c>
      <c r="E255" s="173" t="s">
        <v>13</v>
      </c>
      <c r="F255" s="173" t="s">
        <v>13</v>
      </c>
      <c r="G255" s="174" t="n">
        <v>50</v>
      </c>
      <c r="H255" s="4"/>
      <c r="I255" s="4"/>
      <c r="J255" s="4"/>
      <c r="K255" s="4"/>
      <c r="L255" s="7"/>
      <c r="M255" s="7"/>
      <c r="N255" s="7"/>
      <c r="O255" s="7"/>
      <c r="P255" s="7"/>
      <c r="Q255" s="7"/>
    </row>
    <row r="256" s="10" customFormat="true" ht="58.2" hidden="false" customHeight="false" outlineLevel="0" collapsed="false">
      <c r="A256" s="171" t="s">
        <v>695</v>
      </c>
      <c r="B256" s="172" t="s">
        <v>696</v>
      </c>
      <c r="C256" s="173" t="s">
        <v>25</v>
      </c>
      <c r="D256" s="175" t="s">
        <v>697</v>
      </c>
      <c r="E256" s="173" t="s">
        <v>698</v>
      </c>
      <c r="F256" s="173" t="s">
        <v>13</v>
      </c>
      <c r="G256" s="174" t="n">
        <v>62.6</v>
      </c>
      <c r="H256" s="7"/>
      <c r="I256" s="7"/>
      <c r="J256" s="7"/>
      <c r="K256" s="9"/>
      <c r="L256" s="9"/>
      <c r="M256" s="9"/>
      <c r="N256" s="9"/>
      <c r="O256" s="9"/>
      <c r="P256" s="9"/>
      <c r="Q256" s="9"/>
    </row>
    <row r="257" customFormat="false" ht="58.2" hidden="false" customHeight="false" outlineLevel="0" collapsed="false">
      <c r="A257" s="176" t="s">
        <v>699</v>
      </c>
      <c r="B257" s="177" t="s">
        <v>700</v>
      </c>
      <c r="C257" s="178" t="s">
        <v>25</v>
      </c>
      <c r="D257" s="179" t="s">
        <v>701</v>
      </c>
      <c r="E257" s="178" t="s">
        <v>698</v>
      </c>
      <c r="F257" s="178" t="s">
        <v>13</v>
      </c>
      <c r="G257" s="180" t="n">
        <v>45</v>
      </c>
      <c r="H257" s="7"/>
      <c r="I257" s="7"/>
      <c r="J257" s="7"/>
      <c r="K257" s="7"/>
      <c r="L257" s="7"/>
      <c r="M257" s="7"/>
      <c r="N257" s="7"/>
      <c r="O257" s="7"/>
      <c r="P257" s="7"/>
      <c r="Q257" s="7"/>
    </row>
    <row r="258" customFormat="false" ht="58.2" hidden="false" customHeight="false" outlineLevel="0" collapsed="false">
      <c r="A258" s="176" t="s">
        <v>702</v>
      </c>
      <c r="B258" s="177" t="s">
        <v>703</v>
      </c>
      <c r="C258" s="178" t="s">
        <v>25</v>
      </c>
      <c r="D258" s="179" t="s">
        <v>704</v>
      </c>
      <c r="E258" s="178" t="s">
        <v>698</v>
      </c>
      <c r="F258" s="178" t="s">
        <v>13</v>
      </c>
      <c r="G258" s="180" t="n">
        <v>45</v>
      </c>
      <c r="H258" s="7"/>
      <c r="I258" s="7"/>
      <c r="J258" s="7"/>
      <c r="K258" s="7"/>
      <c r="L258" s="7"/>
      <c r="M258" s="7"/>
      <c r="N258" s="7"/>
      <c r="O258" s="7"/>
      <c r="P258" s="7"/>
      <c r="Q258" s="7"/>
    </row>
    <row r="259" customFormat="false" ht="86.55" hidden="false" customHeight="false" outlineLevel="0" collapsed="false">
      <c r="A259" s="176" t="s">
        <v>705</v>
      </c>
      <c r="B259" s="177" t="s">
        <v>706</v>
      </c>
      <c r="C259" s="178" t="s">
        <v>25</v>
      </c>
      <c r="D259" s="179" t="s">
        <v>707</v>
      </c>
      <c r="E259" s="178" t="s">
        <v>698</v>
      </c>
      <c r="F259" s="178" t="s">
        <v>13</v>
      </c>
      <c r="G259" s="180" t="n">
        <f aca="false">137.39*1.2</f>
        <v>164.868</v>
      </c>
      <c r="H259" s="9"/>
      <c r="I259" s="9"/>
      <c r="J259" s="9"/>
      <c r="K259" s="7"/>
      <c r="L259" s="7"/>
      <c r="M259" s="7"/>
      <c r="N259" s="7"/>
      <c r="O259" s="7"/>
      <c r="P259" s="7"/>
      <c r="Q259" s="7"/>
    </row>
    <row r="260" customFormat="false" ht="58.2" hidden="false" customHeight="false" outlineLevel="0" collapsed="false">
      <c r="A260" s="176" t="s">
        <v>708</v>
      </c>
      <c r="B260" s="177" t="s">
        <v>709</v>
      </c>
      <c r="C260" s="178" t="s">
        <v>10</v>
      </c>
      <c r="D260" s="179" t="s">
        <v>710</v>
      </c>
      <c r="E260" s="178" t="s">
        <v>624</v>
      </c>
      <c r="F260" s="178" t="s">
        <v>13</v>
      </c>
      <c r="G260" s="180" t="n">
        <v>616.18</v>
      </c>
      <c r="H260" s="9"/>
      <c r="I260" s="9"/>
      <c r="J260" s="9"/>
      <c r="K260" s="7"/>
      <c r="L260" s="7"/>
      <c r="M260" s="7"/>
      <c r="N260" s="7"/>
      <c r="O260" s="7"/>
      <c r="P260" s="7"/>
      <c r="Q260" s="7"/>
    </row>
    <row r="261" s="34" customFormat="true" ht="86.55" hidden="false" customHeight="false" outlineLevel="0" collapsed="false">
      <c r="A261" s="181" t="s">
        <v>711</v>
      </c>
      <c r="B261" s="182" t="s">
        <v>712</v>
      </c>
      <c r="C261" s="183" t="s">
        <v>31</v>
      </c>
      <c r="D261" s="184" t="s">
        <v>713</v>
      </c>
      <c r="E261" s="185" t="s">
        <v>13</v>
      </c>
      <c r="F261" s="183" t="s">
        <v>13</v>
      </c>
      <c r="G261" s="186" t="n">
        <v>74.21</v>
      </c>
      <c r="H261" s="4"/>
      <c r="I261" s="4"/>
      <c r="J261" s="4"/>
      <c r="K261" s="7"/>
      <c r="L261" s="7"/>
      <c r="M261" s="7"/>
      <c r="N261" s="7"/>
      <c r="O261" s="7"/>
      <c r="P261" s="7"/>
      <c r="Q261" s="7"/>
    </row>
    <row r="262" s="34" customFormat="true" ht="44" hidden="false" customHeight="false" outlineLevel="0" collapsed="false">
      <c r="A262" s="181" t="s">
        <v>714</v>
      </c>
      <c r="B262" s="182" t="s">
        <v>715</v>
      </c>
      <c r="C262" s="183" t="s">
        <v>31</v>
      </c>
      <c r="D262" s="184" t="s">
        <v>716</v>
      </c>
      <c r="E262" s="185" t="s">
        <v>13</v>
      </c>
      <c r="F262" s="183" t="s">
        <v>13</v>
      </c>
      <c r="G262" s="186" t="n">
        <v>38.24</v>
      </c>
      <c r="H262" s="4"/>
      <c r="I262" s="4"/>
      <c r="J262" s="4"/>
      <c r="K262" s="7"/>
      <c r="L262" s="7"/>
      <c r="M262" s="7"/>
      <c r="N262" s="7"/>
      <c r="O262" s="7"/>
      <c r="P262" s="7"/>
      <c r="Q262" s="7"/>
    </row>
    <row r="263" s="34" customFormat="true" ht="86.55" hidden="false" customHeight="false" outlineLevel="0" collapsed="false">
      <c r="A263" s="181" t="s">
        <v>717</v>
      </c>
      <c r="B263" s="187" t="s">
        <v>718</v>
      </c>
      <c r="C263" s="183" t="s">
        <v>25</v>
      </c>
      <c r="D263" s="188" t="s">
        <v>719</v>
      </c>
      <c r="E263" s="183" t="s">
        <v>698</v>
      </c>
      <c r="F263" s="183" t="s">
        <v>13</v>
      </c>
      <c r="G263" s="186" t="n">
        <v>316.51</v>
      </c>
      <c r="H263" s="9"/>
      <c r="I263" s="9"/>
      <c r="J263" s="9"/>
      <c r="K263" s="7"/>
      <c r="L263" s="7"/>
      <c r="M263" s="7"/>
      <c r="N263" s="7"/>
      <c r="O263" s="7"/>
      <c r="P263" s="7"/>
      <c r="Q263" s="7"/>
    </row>
    <row r="264" s="43" customFormat="true" ht="150" hidden="false" customHeight="true" outlineLevel="0" collapsed="false">
      <c r="A264" s="181" t="s">
        <v>720</v>
      </c>
      <c r="B264" s="187" t="s">
        <v>721</v>
      </c>
      <c r="C264" s="183" t="s">
        <v>10</v>
      </c>
      <c r="D264" s="188" t="s">
        <v>722</v>
      </c>
      <c r="E264" s="183" t="s">
        <v>698</v>
      </c>
      <c r="F264" s="183" t="s">
        <v>13</v>
      </c>
      <c r="G264" s="186" t="n">
        <v>682.82</v>
      </c>
      <c r="H264" s="9"/>
      <c r="I264" s="9" t="n">
        <v>582.82</v>
      </c>
      <c r="J264" s="9"/>
      <c r="K264" s="7"/>
      <c r="L264" s="7"/>
      <c r="M264" s="7"/>
      <c r="N264" s="7"/>
      <c r="O264" s="7"/>
      <c r="P264" s="7"/>
      <c r="Q264" s="7"/>
    </row>
    <row r="265" s="43" customFormat="true" ht="44" hidden="false" customHeight="false" outlineLevel="0" collapsed="false">
      <c r="A265" s="181" t="s">
        <v>723</v>
      </c>
      <c r="B265" s="187" t="s">
        <v>724</v>
      </c>
      <c r="C265" s="183" t="s">
        <v>725</v>
      </c>
      <c r="D265" s="188" t="s">
        <v>726</v>
      </c>
      <c r="E265" s="183" t="s">
        <v>727</v>
      </c>
      <c r="F265" s="183"/>
      <c r="G265" s="186" t="n">
        <f aca="false">2.66*1.2</f>
        <v>3.192</v>
      </c>
      <c r="H265" s="4"/>
      <c r="I265" s="42" t="s">
        <v>728</v>
      </c>
      <c r="J265" s="42" t="s">
        <v>90</v>
      </c>
      <c r="K265" s="56"/>
      <c r="L265" s="42" t="s">
        <v>130</v>
      </c>
      <c r="M265" s="4"/>
      <c r="N265" s="4"/>
      <c r="O265" s="4"/>
      <c r="P265" s="4"/>
      <c r="Q265" s="4"/>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89"/>
      <c r="BM265" s="189"/>
      <c r="BN265" s="189"/>
      <c r="BO265" s="189"/>
      <c r="BP265" s="189"/>
      <c r="BQ265" s="189"/>
      <c r="BR265" s="189"/>
      <c r="BS265" s="189"/>
      <c r="BT265" s="189"/>
      <c r="BU265" s="189"/>
      <c r="BV265" s="189"/>
      <c r="BW265" s="189"/>
      <c r="BX265" s="189"/>
      <c r="BY265" s="189"/>
      <c r="BZ265" s="189"/>
      <c r="CA265" s="189"/>
      <c r="CB265" s="189"/>
      <c r="CC265" s="189"/>
      <c r="CD265" s="189"/>
      <c r="CE265" s="189"/>
      <c r="CF265" s="189"/>
      <c r="CG265" s="189"/>
      <c r="CH265" s="189"/>
      <c r="CI265" s="189"/>
      <c r="CJ265" s="189"/>
      <c r="CK265" s="189"/>
      <c r="CL265" s="189"/>
      <c r="CM265" s="189"/>
      <c r="CN265" s="189"/>
      <c r="CO265" s="189"/>
      <c r="CP265" s="189"/>
      <c r="CQ265" s="189"/>
      <c r="CR265" s="189"/>
      <c r="CS265" s="189"/>
      <c r="CT265" s="189"/>
      <c r="CU265" s="189"/>
      <c r="CV265" s="189"/>
      <c r="CW265" s="189"/>
      <c r="CX265" s="189"/>
      <c r="CY265" s="189"/>
      <c r="CZ265" s="189"/>
      <c r="DA265" s="189"/>
      <c r="DB265" s="189"/>
      <c r="DC265" s="189"/>
      <c r="DD265" s="189"/>
      <c r="DE265" s="189"/>
      <c r="DF265" s="189"/>
      <c r="DG265" s="189"/>
      <c r="DH265" s="189"/>
      <c r="DI265" s="189"/>
      <c r="DJ265" s="189"/>
      <c r="DK265" s="189"/>
      <c r="DL265" s="189"/>
      <c r="DM265" s="189"/>
      <c r="DN265" s="189"/>
      <c r="DO265" s="189"/>
      <c r="DP265" s="189"/>
      <c r="DQ265" s="189"/>
      <c r="DR265" s="189"/>
      <c r="DS265" s="189"/>
      <c r="DT265" s="189"/>
      <c r="DU265" s="189"/>
      <c r="DV265" s="189"/>
      <c r="DW265" s="189"/>
      <c r="DX265" s="189"/>
      <c r="DY265" s="189"/>
      <c r="DZ265" s="189"/>
      <c r="EA265" s="189"/>
      <c r="EB265" s="189"/>
      <c r="EC265" s="189"/>
      <c r="ED265" s="189"/>
      <c r="EE265" s="189"/>
      <c r="EF265" s="189"/>
      <c r="EG265" s="189"/>
      <c r="EH265" s="189"/>
      <c r="EI265" s="189"/>
      <c r="EJ265" s="189"/>
      <c r="EK265" s="189"/>
      <c r="EL265" s="189"/>
      <c r="EM265" s="189"/>
      <c r="EN265" s="189"/>
      <c r="EO265" s="189"/>
      <c r="EP265" s="189"/>
      <c r="EQ265" s="189"/>
      <c r="ER265" s="189"/>
      <c r="ES265" s="189"/>
      <c r="ET265" s="189"/>
      <c r="EU265" s="189"/>
      <c r="EV265" s="189"/>
      <c r="EW265" s="189"/>
      <c r="EX265" s="189"/>
      <c r="EY265" s="189"/>
      <c r="EZ265" s="189"/>
      <c r="FA265" s="189"/>
      <c r="FB265" s="189"/>
      <c r="FC265" s="189"/>
      <c r="FD265" s="189"/>
      <c r="FE265" s="189"/>
      <c r="FF265" s="189"/>
      <c r="FG265" s="189"/>
      <c r="FH265" s="189"/>
      <c r="FI265" s="189"/>
      <c r="FJ265" s="189"/>
      <c r="FK265" s="189"/>
      <c r="FL265" s="189"/>
      <c r="FM265" s="189"/>
      <c r="FN265" s="189"/>
      <c r="FO265" s="189"/>
      <c r="FP265" s="189"/>
      <c r="FQ265" s="189"/>
      <c r="FR265" s="189"/>
      <c r="FS265" s="189"/>
      <c r="FT265" s="189"/>
      <c r="FU265" s="189"/>
      <c r="FV265" s="189"/>
      <c r="FW265" s="189"/>
      <c r="FX265" s="189"/>
      <c r="FY265" s="189"/>
      <c r="FZ265" s="189"/>
      <c r="GA265" s="189"/>
      <c r="GB265" s="189"/>
      <c r="GC265" s="189"/>
      <c r="GD265" s="189"/>
      <c r="GE265" s="189"/>
      <c r="GF265" s="189"/>
      <c r="GG265" s="189"/>
      <c r="GH265" s="189"/>
      <c r="GI265" s="189"/>
      <c r="GJ265" s="189"/>
      <c r="GK265" s="189"/>
      <c r="GL265" s="189"/>
      <c r="GM265" s="189"/>
      <c r="GN265" s="189"/>
      <c r="GO265" s="189"/>
      <c r="GP265" s="189"/>
      <c r="GQ265" s="189"/>
      <c r="GR265" s="189"/>
      <c r="GS265" s="189"/>
      <c r="GT265" s="189"/>
      <c r="GU265" s="189"/>
      <c r="GV265" s="189"/>
      <c r="GW265" s="189"/>
      <c r="GX265" s="189"/>
      <c r="GY265" s="189"/>
      <c r="GZ265" s="189"/>
      <c r="HA265" s="189"/>
      <c r="HB265" s="189"/>
      <c r="HC265" s="189"/>
      <c r="HD265" s="189"/>
      <c r="HE265" s="189"/>
      <c r="HF265" s="189"/>
      <c r="HG265" s="189"/>
      <c r="HH265" s="189"/>
      <c r="HI265" s="189"/>
      <c r="HJ265" s="189"/>
      <c r="HK265" s="189"/>
      <c r="HL265" s="189"/>
      <c r="HM265" s="189"/>
      <c r="HN265" s="189"/>
      <c r="HO265" s="189"/>
      <c r="HP265" s="189"/>
      <c r="HQ265" s="189"/>
      <c r="HR265" s="189"/>
      <c r="HS265" s="189"/>
      <c r="HT265" s="189"/>
      <c r="HU265" s="189"/>
      <c r="HV265" s="189"/>
      <c r="HW265" s="189"/>
      <c r="HX265" s="189"/>
      <c r="HY265" s="189"/>
      <c r="HZ265" s="189"/>
      <c r="IA265" s="189"/>
      <c r="IB265" s="189"/>
      <c r="IC265" s="189"/>
      <c r="ID265" s="189"/>
      <c r="IE265" s="189"/>
      <c r="IF265" s="189"/>
      <c r="IG265" s="189"/>
      <c r="IH265" s="189"/>
      <c r="II265" s="189"/>
      <c r="IJ265" s="189"/>
      <c r="IK265" s="189"/>
      <c r="IL265" s="189"/>
      <c r="IM265" s="189"/>
      <c r="IN265" s="189"/>
      <c r="IO265" s="189"/>
      <c r="IP265" s="189"/>
      <c r="IQ265" s="189"/>
      <c r="IR265" s="189"/>
      <c r="IS265" s="189"/>
      <c r="IT265" s="189"/>
      <c r="IU265" s="189"/>
      <c r="IV265" s="189"/>
      <c r="IW265" s="189"/>
      <c r="IX265" s="189"/>
      <c r="IY265" s="189"/>
      <c r="IZ265" s="189"/>
      <c r="JA265" s="189"/>
      <c r="JB265" s="189"/>
      <c r="JC265" s="189"/>
      <c r="JD265" s="189"/>
      <c r="JE265" s="189"/>
      <c r="JF265" s="189"/>
      <c r="JG265" s="189"/>
      <c r="JH265" s="189"/>
      <c r="JI265" s="189"/>
      <c r="JJ265" s="189"/>
      <c r="JK265" s="189"/>
      <c r="JL265" s="189"/>
      <c r="JM265" s="189"/>
      <c r="JN265" s="189"/>
      <c r="JO265" s="189"/>
      <c r="JP265" s="189"/>
      <c r="JQ265" s="189"/>
      <c r="JR265" s="189"/>
      <c r="JS265" s="189"/>
      <c r="JT265" s="189"/>
      <c r="JU265" s="189"/>
      <c r="JV265" s="189"/>
      <c r="JW265" s="189"/>
      <c r="JX265" s="189"/>
      <c r="JY265" s="189"/>
      <c r="JZ265" s="189"/>
      <c r="KA265" s="189"/>
      <c r="KB265" s="189"/>
      <c r="KC265" s="189"/>
      <c r="KD265" s="189"/>
      <c r="KE265" s="189"/>
      <c r="KF265" s="189"/>
      <c r="KG265" s="189"/>
      <c r="KH265" s="189"/>
      <c r="KI265" s="189"/>
      <c r="KJ265" s="189"/>
      <c r="KK265" s="189"/>
      <c r="KL265" s="189"/>
      <c r="KM265" s="189"/>
      <c r="KN265" s="189"/>
      <c r="KO265" s="189"/>
      <c r="KP265" s="189"/>
      <c r="KQ265" s="189"/>
      <c r="KR265" s="189"/>
      <c r="KS265" s="189"/>
      <c r="KT265" s="189"/>
      <c r="KU265" s="189"/>
      <c r="KV265" s="189"/>
      <c r="KW265" s="189"/>
      <c r="KX265" s="189"/>
      <c r="KY265" s="189"/>
      <c r="KZ265" s="189"/>
      <c r="LA265" s="189"/>
      <c r="LB265" s="189"/>
      <c r="LC265" s="189"/>
      <c r="LD265" s="189"/>
      <c r="LE265" s="189"/>
      <c r="LF265" s="189"/>
      <c r="LG265" s="189"/>
      <c r="LH265" s="189"/>
      <c r="LI265" s="189"/>
      <c r="LJ265" s="189"/>
      <c r="LK265" s="189"/>
      <c r="LL265" s="189"/>
      <c r="LM265" s="189"/>
      <c r="LN265" s="189"/>
      <c r="LO265" s="189"/>
      <c r="LP265" s="189"/>
      <c r="LQ265" s="189"/>
      <c r="LR265" s="189"/>
      <c r="LS265" s="189"/>
      <c r="LT265" s="189"/>
      <c r="LU265" s="189"/>
      <c r="LV265" s="189"/>
      <c r="LW265" s="189"/>
      <c r="LX265" s="189"/>
      <c r="LY265" s="189"/>
      <c r="LZ265" s="189"/>
      <c r="MA265" s="189"/>
      <c r="MB265" s="189"/>
      <c r="MC265" s="189"/>
      <c r="MD265" s="189"/>
      <c r="ME265" s="189"/>
      <c r="MF265" s="189"/>
      <c r="MG265" s="189"/>
      <c r="MH265" s="189"/>
      <c r="MI265" s="189"/>
      <c r="MJ265" s="189"/>
      <c r="MK265" s="189"/>
      <c r="ML265" s="189"/>
      <c r="MM265" s="189"/>
      <c r="MN265" s="189"/>
      <c r="MO265" s="189"/>
      <c r="MP265" s="189"/>
      <c r="MQ265" s="189"/>
      <c r="MR265" s="189"/>
      <c r="MS265" s="189"/>
      <c r="MT265" s="189"/>
      <c r="MU265" s="189"/>
      <c r="MV265" s="189"/>
      <c r="MW265" s="189"/>
      <c r="MX265" s="189"/>
      <c r="MY265" s="189"/>
      <c r="MZ265" s="189"/>
      <c r="NA265" s="189"/>
      <c r="NB265" s="189"/>
      <c r="NC265" s="189"/>
      <c r="ND265" s="189"/>
      <c r="NE265" s="189"/>
      <c r="NF265" s="189"/>
      <c r="NG265" s="189"/>
      <c r="NH265" s="189"/>
      <c r="NI265" s="189"/>
      <c r="NJ265" s="189"/>
      <c r="NK265" s="189"/>
      <c r="NL265" s="189"/>
      <c r="NM265" s="189"/>
      <c r="NN265" s="189"/>
      <c r="NO265" s="189"/>
      <c r="NP265" s="189"/>
      <c r="NQ265" s="189"/>
      <c r="NR265" s="189"/>
      <c r="NS265" s="189"/>
      <c r="NT265" s="189"/>
      <c r="NU265" s="189"/>
      <c r="NV265" s="189"/>
      <c r="NW265" s="189"/>
      <c r="NX265" s="189"/>
      <c r="NY265" s="189"/>
      <c r="NZ265" s="189"/>
      <c r="OA265" s="189"/>
      <c r="OB265" s="189"/>
      <c r="OC265" s="189"/>
      <c r="OD265" s="189"/>
      <c r="OE265" s="189"/>
      <c r="OF265" s="189"/>
      <c r="OG265" s="189"/>
      <c r="OH265" s="189"/>
      <c r="OI265" s="189"/>
      <c r="OJ265" s="189"/>
      <c r="OK265" s="189"/>
      <c r="OL265" s="189"/>
      <c r="OM265" s="189"/>
      <c r="ON265" s="189"/>
      <c r="OO265" s="189"/>
      <c r="OP265" s="189"/>
      <c r="OQ265" s="189"/>
      <c r="OR265" s="189"/>
      <c r="OS265" s="189"/>
      <c r="OT265" s="189"/>
      <c r="OU265" s="189"/>
      <c r="OV265" s="189"/>
      <c r="OW265" s="189"/>
      <c r="OX265" s="189"/>
      <c r="OY265" s="189"/>
      <c r="OZ265" s="189"/>
      <c r="PA265" s="189"/>
      <c r="PB265" s="189"/>
      <c r="PC265" s="189"/>
      <c r="PD265" s="189"/>
      <c r="PE265" s="189"/>
      <c r="PF265" s="189"/>
      <c r="PG265" s="189"/>
      <c r="PH265" s="189"/>
      <c r="PI265" s="189"/>
      <c r="PJ265" s="189"/>
      <c r="PK265" s="189"/>
      <c r="PL265" s="189"/>
      <c r="PM265" s="189"/>
      <c r="PN265" s="189"/>
      <c r="PO265" s="189"/>
      <c r="PP265" s="189"/>
      <c r="PQ265" s="189"/>
      <c r="PR265" s="189"/>
      <c r="PS265" s="189"/>
      <c r="PT265" s="189"/>
      <c r="PU265" s="189"/>
      <c r="PV265" s="189"/>
      <c r="PW265" s="189"/>
      <c r="PX265" s="189"/>
      <c r="PY265" s="189"/>
      <c r="PZ265" s="189"/>
      <c r="QA265" s="189"/>
      <c r="QB265" s="189"/>
      <c r="QC265" s="189"/>
      <c r="QD265" s="189"/>
      <c r="QE265" s="189"/>
      <c r="QF265" s="189"/>
      <c r="QG265" s="189"/>
      <c r="QH265" s="189"/>
      <c r="QI265" s="189"/>
      <c r="QJ265" s="189"/>
      <c r="QK265" s="189"/>
      <c r="QL265" s="189"/>
      <c r="QM265" s="189"/>
      <c r="QN265" s="189"/>
      <c r="QO265" s="189"/>
      <c r="QP265" s="189"/>
      <c r="QQ265" s="189"/>
      <c r="QR265" s="189"/>
      <c r="QS265" s="189"/>
      <c r="QT265" s="189"/>
      <c r="QU265" s="189"/>
      <c r="QV265" s="189"/>
      <c r="QW265" s="189"/>
      <c r="QX265" s="189"/>
      <c r="QY265" s="189"/>
      <c r="QZ265" s="189"/>
      <c r="RA265" s="189"/>
      <c r="RB265" s="189"/>
      <c r="RC265" s="189"/>
      <c r="RD265" s="189"/>
      <c r="RE265" s="189"/>
      <c r="RF265" s="189"/>
      <c r="RG265" s="189"/>
      <c r="RH265" s="189"/>
      <c r="RI265" s="189"/>
      <c r="RJ265" s="189"/>
      <c r="RK265" s="189"/>
      <c r="RL265" s="189"/>
      <c r="RM265" s="189"/>
      <c r="RN265" s="189"/>
      <c r="RO265" s="189"/>
      <c r="RP265" s="189"/>
      <c r="RQ265" s="189"/>
      <c r="RR265" s="189"/>
      <c r="RS265" s="189"/>
      <c r="RT265" s="189"/>
      <c r="RU265" s="189"/>
      <c r="RV265" s="189"/>
      <c r="RW265" s="189"/>
      <c r="RX265" s="189"/>
      <c r="RY265" s="189"/>
      <c r="RZ265" s="189"/>
      <c r="SA265" s="189"/>
      <c r="SB265" s="189"/>
      <c r="SC265" s="189"/>
      <c r="SD265" s="189"/>
      <c r="SE265" s="189"/>
      <c r="SF265" s="189"/>
      <c r="SG265" s="189"/>
      <c r="SH265" s="189"/>
      <c r="SI265" s="189"/>
      <c r="SJ265" s="189"/>
      <c r="SK265" s="189"/>
      <c r="SL265" s="189"/>
      <c r="SM265" s="189"/>
      <c r="SN265" s="189"/>
      <c r="SO265" s="189"/>
      <c r="SP265" s="189"/>
      <c r="SQ265" s="189"/>
      <c r="SR265" s="189"/>
      <c r="SS265" s="189"/>
      <c r="ST265" s="189"/>
      <c r="SU265" s="189"/>
      <c r="SV265" s="189"/>
      <c r="SW265" s="189"/>
      <c r="SX265" s="189"/>
      <c r="SY265" s="189"/>
      <c r="SZ265" s="189"/>
      <c r="TA265" s="189"/>
      <c r="TB265" s="189"/>
      <c r="TC265" s="189"/>
      <c r="TD265" s="189"/>
      <c r="TE265" s="189"/>
      <c r="TF265" s="189"/>
      <c r="TG265" s="189"/>
      <c r="TH265" s="189"/>
      <c r="TI265" s="189"/>
      <c r="TJ265" s="189"/>
      <c r="TK265" s="189"/>
      <c r="TL265" s="189"/>
      <c r="TM265" s="189"/>
      <c r="TN265" s="189"/>
      <c r="TO265" s="189"/>
      <c r="TP265" s="189"/>
      <c r="TQ265" s="189"/>
      <c r="TR265" s="189"/>
      <c r="TS265" s="189"/>
      <c r="TT265" s="189"/>
      <c r="TU265" s="189"/>
      <c r="TV265" s="189"/>
      <c r="TW265" s="189"/>
      <c r="TX265" s="189"/>
      <c r="TY265" s="189"/>
      <c r="TZ265" s="189"/>
      <c r="UA265" s="189"/>
      <c r="UB265" s="189"/>
      <c r="UC265" s="189"/>
      <c r="UD265" s="189"/>
      <c r="UE265" s="189"/>
      <c r="UF265" s="189"/>
      <c r="UG265" s="189"/>
      <c r="UH265" s="189"/>
      <c r="UI265" s="189"/>
      <c r="UJ265" s="189"/>
      <c r="UK265" s="189"/>
      <c r="UL265" s="189"/>
      <c r="UM265" s="189"/>
      <c r="UN265" s="189"/>
      <c r="UO265" s="189"/>
      <c r="UP265" s="189"/>
      <c r="UQ265" s="189"/>
      <c r="UR265" s="189"/>
      <c r="US265" s="189"/>
      <c r="UT265" s="189"/>
      <c r="UU265" s="189"/>
      <c r="UV265" s="189"/>
      <c r="UW265" s="189"/>
      <c r="UX265" s="189"/>
      <c r="UY265" s="189"/>
      <c r="UZ265" s="189"/>
      <c r="VA265" s="189"/>
      <c r="VB265" s="189"/>
      <c r="VC265" s="189"/>
      <c r="VD265" s="189"/>
      <c r="VE265" s="189"/>
      <c r="VF265" s="189"/>
      <c r="VG265" s="189"/>
      <c r="VH265" s="189"/>
      <c r="VI265" s="189"/>
      <c r="VJ265" s="189"/>
      <c r="VK265" s="189"/>
      <c r="VL265" s="189"/>
      <c r="VM265" s="189"/>
      <c r="VN265" s="189"/>
      <c r="VO265" s="189"/>
      <c r="VP265" s="189"/>
      <c r="VQ265" s="189"/>
      <c r="VR265" s="189"/>
      <c r="VS265" s="189"/>
      <c r="VT265" s="189"/>
      <c r="VU265" s="189"/>
      <c r="VV265" s="189"/>
      <c r="VW265" s="189"/>
      <c r="VX265" s="189"/>
      <c r="VY265" s="189"/>
      <c r="VZ265" s="189"/>
      <c r="WA265" s="189"/>
      <c r="WB265" s="189"/>
      <c r="WC265" s="189"/>
      <c r="WD265" s="189"/>
      <c r="WE265" s="189"/>
      <c r="WF265" s="189"/>
      <c r="WG265" s="189"/>
      <c r="WH265" s="189"/>
      <c r="WI265" s="189"/>
      <c r="WJ265" s="189"/>
      <c r="WK265" s="189"/>
      <c r="WL265" s="189"/>
      <c r="WM265" s="189"/>
      <c r="WN265" s="189"/>
      <c r="WO265" s="189"/>
      <c r="WP265" s="189"/>
      <c r="WQ265" s="189"/>
      <c r="WR265" s="189"/>
      <c r="WS265" s="189"/>
      <c r="WT265" s="189"/>
      <c r="WU265" s="189"/>
      <c r="WV265" s="189"/>
      <c r="WW265" s="189"/>
      <c r="WX265" s="189"/>
      <c r="WY265" s="189"/>
      <c r="WZ265" s="189"/>
      <c r="XA265" s="189"/>
      <c r="XB265" s="189"/>
      <c r="XC265" s="189"/>
      <c r="XD265" s="189"/>
      <c r="XE265" s="189"/>
      <c r="XF265" s="189"/>
      <c r="XG265" s="189"/>
      <c r="XH265" s="189"/>
      <c r="XI265" s="189"/>
      <c r="XJ265" s="189"/>
      <c r="XK265" s="189"/>
      <c r="XL265" s="189"/>
      <c r="XM265" s="189"/>
      <c r="XN265" s="189"/>
      <c r="XO265" s="189"/>
      <c r="XP265" s="189"/>
      <c r="XQ265" s="189"/>
      <c r="XR265" s="189"/>
      <c r="XS265" s="189"/>
      <c r="XT265" s="189"/>
      <c r="XU265" s="189"/>
      <c r="XV265" s="189"/>
      <c r="XW265" s="189"/>
      <c r="XX265" s="189"/>
      <c r="XY265" s="189"/>
      <c r="XZ265" s="189"/>
      <c r="YA265" s="189"/>
      <c r="YB265" s="189"/>
      <c r="YC265" s="189"/>
      <c r="YD265" s="189"/>
      <c r="YE265" s="189"/>
      <c r="YF265" s="189"/>
      <c r="YG265" s="189"/>
      <c r="YH265" s="189"/>
      <c r="YI265" s="189"/>
      <c r="YJ265" s="189"/>
      <c r="YK265" s="189"/>
      <c r="YL265" s="189"/>
      <c r="YM265" s="189"/>
      <c r="YN265" s="189"/>
      <c r="YO265" s="189"/>
      <c r="YP265" s="189"/>
      <c r="YQ265" s="189"/>
      <c r="YR265" s="189"/>
      <c r="YS265" s="189"/>
      <c r="YT265" s="189"/>
      <c r="YU265" s="189"/>
      <c r="YV265" s="189"/>
      <c r="YW265" s="189"/>
      <c r="YX265" s="189"/>
      <c r="YY265" s="189"/>
      <c r="YZ265" s="189"/>
      <c r="ZA265" s="189"/>
      <c r="ZB265" s="189"/>
      <c r="ZC265" s="189"/>
      <c r="ZD265" s="189"/>
      <c r="ZE265" s="189"/>
      <c r="ZF265" s="189"/>
      <c r="ZG265" s="189"/>
      <c r="ZH265" s="189"/>
      <c r="ZI265" s="189"/>
      <c r="ZJ265" s="189"/>
      <c r="ZK265" s="189"/>
      <c r="ZL265" s="189"/>
      <c r="ZM265" s="189"/>
      <c r="ZN265" s="189"/>
      <c r="ZO265" s="189"/>
      <c r="ZP265" s="189"/>
      <c r="ZQ265" s="189"/>
      <c r="ZR265" s="189"/>
      <c r="ZS265" s="189"/>
      <c r="ZT265" s="189"/>
      <c r="ZU265" s="189"/>
      <c r="ZV265" s="189"/>
      <c r="ZW265" s="189"/>
      <c r="ZX265" s="189"/>
      <c r="ZY265" s="189"/>
      <c r="ZZ265" s="189"/>
      <c r="AAA265" s="189"/>
      <c r="AAB265" s="189"/>
      <c r="AAC265" s="189"/>
      <c r="AAD265" s="189"/>
      <c r="AAE265" s="189"/>
      <c r="AAF265" s="189"/>
      <c r="AAG265" s="189"/>
      <c r="AAH265" s="189"/>
      <c r="AAI265" s="189"/>
      <c r="AAJ265" s="189"/>
      <c r="AAK265" s="189"/>
      <c r="AAL265" s="189"/>
      <c r="AAM265" s="189"/>
      <c r="AAN265" s="189"/>
      <c r="AAO265" s="189"/>
      <c r="AAP265" s="189"/>
      <c r="AAQ265" s="189"/>
      <c r="AAR265" s="189"/>
      <c r="AAS265" s="189"/>
      <c r="AAT265" s="189"/>
      <c r="AAU265" s="189"/>
      <c r="AAV265" s="189"/>
      <c r="AAW265" s="189"/>
      <c r="AAX265" s="189"/>
      <c r="AAY265" s="189"/>
      <c r="AAZ265" s="189"/>
      <c r="ABA265" s="189"/>
      <c r="ABB265" s="189"/>
      <c r="ABC265" s="189"/>
      <c r="ABD265" s="189"/>
      <c r="ABE265" s="189"/>
      <c r="ABF265" s="189"/>
      <c r="ABG265" s="189"/>
      <c r="ABH265" s="189"/>
      <c r="ABI265" s="189"/>
      <c r="ABJ265" s="189"/>
      <c r="ABK265" s="189"/>
      <c r="ABL265" s="189"/>
      <c r="ABM265" s="189"/>
      <c r="ABN265" s="189"/>
      <c r="ABO265" s="189"/>
      <c r="ABP265" s="189"/>
      <c r="ABQ265" s="189"/>
      <c r="ABR265" s="189"/>
      <c r="ABS265" s="189"/>
      <c r="ABT265" s="189"/>
      <c r="ABU265" s="189"/>
      <c r="ABV265" s="189"/>
      <c r="ABW265" s="189"/>
      <c r="ABX265" s="189"/>
      <c r="ABY265" s="189"/>
      <c r="ABZ265" s="189"/>
      <c r="ACA265" s="189"/>
      <c r="ACB265" s="189"/>
      <c r="ACC265" s="189"/>
      <c r="ACD265" s="189"/>
      <c r="ACE265" s="189"/>
      <c r="ACF265" s="189"/>
      <c r="ACG265" s="189"/>
      <c r="ACH265" s="189"/>
      <c r="ACI265" s="189"/>
      <c r="ACJ265" s="189"/>
      <c r="ACK265" s="189"/>
      <c r="ACL265" s="189"/>
      <c r="ACM265" s="189"/>
      <c r="ACN265" s="189"/>
      <c r="ACO265" s="189"/>
      <c r="ACP265" s="189"/>
      <c r="ACQ265" s="189"/>
      <c r="ACR265" s="189"/>
      <c r="ACS265" s="189"/>
      <c r="ACT265" s="189"/>
      <c r="ACU265" s="189"/>
      <c r="ACV265" s="189"/>
      <c r="ACW265" s="189"/>
      <c r="ACX265" s="189"/>
      <c r="ACY265" s="189"/>
      <c r="ACZ265" s="189"/>
      <c r="ADA265" s="189"/>
      <c r="ADB265" s="189"/>
      <c r="ADC265" s="189"/>
      <c r="ADD265" s="189"/>
      <c r="ADE265" s="189"/>
      <c r="ADF265" s="189"/>
      <c r="ADG265" s="189"/>
      <c r="ADH265" s="189"/>
      <c r="ADI265" s="189"/>
      <c r="ADJ265" s="189"/>
      <c r="ADK265" s="189"/>
      <c r="ADL265" s="189"/>
      <c r="ADM265" s="189"/>
      <c r="ADN265" s="189"/>
      <c r="ADO265" s="189"/>
      <c r="ADP265" s="189"/>
      <c r="ADQ265" s="189"/>
      <c r="ADR265" s="189"/>
      <c r="ADS265" s="189"/>
      <c r="ADT265" s="189"/>
      <c r="ADU265" s="189"/>
      <c r="ADV265" s="189"/>
      <c r="ADW265" s="189"/>
      <c r="ADX265" s="189"/>
      <c r="ADY265" s="189"/>
      <c r="ADZ265" s="189"/>
      <c r="AEA265" s="189"/>
      <c r="AEB265" s="189"/>
      <c r="AEC265" s="189"/>
      <c r="AED265" s="189"/>
      <c r="AEE265" s="189"/>
      <c r="AEF265" s="189"/>
      <c r="AEG265" s="189"/>
      <c r="AEH265" s="189"/>
      <c r="AEI265" s="189"/>
      <c r="AEJ265" s="189"/>
      <c r="AEK265" s="189"/>
      <c r="AEL265" s="189"/>
      <c r="AEM265" s="189"/>
      <c r="AEN265" s="189"/>
      <c r="AEO265" s="189"/>
      <c r="AEP265" s="189"/>
      <c r="AEQ265" s="189"/>
      <c r="AER265" s="189"/>
      <c r="AES265" s="189"/>
      <c r="AET265" s="189"/>
      <c r="AEU265" s="189"/>
      <c r="AEV265" s="189"/>
      <c r="AEW265" s="189"/>
      <c r="AEX265" s="189"/>
      <c r="AEY265" s="189"/>
      <c r="AEZ265" s="189"/>
      <c r="AFA265" s="189"/>
      <c r="AFB265" s="189"/>
      <c r="AFC265" s="189"/>
      <c r="AFD265" s="189"/>
      <c r="AFE265" s="189"/>
      <c r="AFF265" s="189"/>
      <c r="AFG265" s="189"/>
      <c r="AFH265" s="189"/>
      <c r="AFI265" s="189"/>
      <c r="AFJ265" s="189"/>
      <c r="AFK265" s="189"/>
      <c r="AFL265" s="189"/>
      <c r="AFM265" s="189"/>
      <c r="AFN265" s="189"/>
      <c r="AFO265" s="189"/>
      <c r="AFP265" s="189"/>
      <c r="AFQ265" s="189"/>
      <c r="AFR265" s="189"/>
      <c r="AFS265" s="189"/>
      <c r="AFT265" s="189"/>
      <c r="AFU265" s="189"/>
      <c r="AFV265" s="189"/>
      <c r="AFW265" s="189"/>
      <c r="AFX265" s="189"/>
      <c r="AFY265" s="189"/>
      <c r="AFZ265" s="189"/>
      <c r="AGA265" s="189"/>
      <c r="AGB265" s="189"/>
      <c r="AGC265" s="189"/>
      <c r="AGD265" s="189"/>
      <c r="AGE265" s="189"/>
      <c r="AGF265" s="189"/>
      <c r="AGG265" s="189"/>
      <c r="AGH265" s="189"/>
      <c r="AGI265" s="189"/>
      <c r="AGJ265" s="189"/>
      <c r="AGK265" s="189"/>
      <c r="AGL265" s="189"/>
      <c r="AGM265" s="189"/>
      <c r="AGN265" s="189"/>
      <c r="AGO265" s="189"/>
      <c r="AGP265" s="189"/>
      <c r="AGQ265" s="189"/>
      <c r="AGR265" s="189"/>
      <c r="AGS265" s="189"/>
      <c r="AGT265" s="189"/>
      <c r="AGU265" s="189"/>
      <c r="AGV265" s="189"/>
      <c r="AGW265" s="189"/>
      <c r="AGX265" s="189"/>
      <c r="AGY265" s="189"/>
      <c r="AGZ265" s="189"/>
      <c r="AHA265" s="189"/>
      <c r="AHB265" s="189"/>
      <c r="AHC265" s="189"/>
      <c r="AHD265" s="189"/>
      <c r="AHE265" s="189"/>
      <c r="AHF265" s="189"/>
      <c r="AHG265" s="189"/>
      <c r="AHH265" s="189"/>
      <c r="AHI265" s="189"/>
      <c r="AHJ265" s="189"/>
      <c r="AHK265" s="189"/>
      <c r="AHL265" s="189"/>
      <c r="AHM265" s="189"/>
      <c r="AHN265" s="189"/>
      <c r="AHO265" s="189"/>
      <c r="AHP265" s="189"/>
      <c r="AHQ265" s="189"/>
      <c r="AHR265" s="189"/>
      <c r="AHS265" s="189"/>
      <c r="AHT265" s="189"/>
      <c r="AHU265" s="189"/>
      <c r="AHV265" s="189"/>
      <c r="AHW265" s="189"/>
      <c r="AHX265" s="189"/>
      <c r="AHY265" s="189"/>
      <c r="AHZ265" s="189"/>
      <c r="AIA265" s="189"/>
      <c r="AIB265" s="189"/>
      <c r="AIC265" s="189"/>
      <c r="AID265" s="189"/>
      <c r="AIE265" s="189"/>
      <c r="AIF265" s="189"/>
      <c r="AIG265" s="189"/>
      <c r="AIH265" s="189"/>
      <c r="AII265" s="189"/>
      <c r="AIJ265" s="189"/>
      <c r="AIK265" s="189"/>
      <c r="AIL265" s="189"/>
      <c r="AIM265" s="189"/>
      <c r="AIN265" s="189"/>
      <c r="AIO265" s="189"/>
      <c r="AIP265" s="189"/>
      <c r="AIQ265" s="189"/>
      <c r="AIR265" s="189"/>
      <c r="AIS265" s="189"/>
      <c r="AIT265" s="189"/>
      <c r="AIU265" s="189"/>
      <c r="AIV265" s="189"/>
      <c r="AIW265" s="189"/>
      <c r="AIX265" s="189"/>
      <c r="AIY265" s="189"/>
      <c r="AIZ265" s="189"/>
      <c r="AJA265" s="189"/>
      <c r="AJB265" s="189"/>
      <c r="AJC265" s="189"/>
      <c r="AJD265" s="189"/>
      <c r="AJE265" s="189"/>
      <c r="AJF265" s="189"/>
      <c r="AJG265" s="189"/>
      <c r="AJH265" s="189"/>
      <c r="AJI265" s="189"/>
      <c r="AJJ265" s="189"/>
      <c r="AJK265" s="189"/>
      <c r="AJL265" s="189"/>
      <c r="AJM265" s="189"/>
      <c r="AJN265" s="189"/>
      <c r="AJO265" s="189"/>
      <c r="AJP265" s="189"/>
      <c r="AJQ265" s="189"/>
      <c r="AJR265" s="189"/>
      <c r="AJS265" s="189"/>
      <c r="AJT265" s="189"/>
      <c r="AJU265" s="189"/>
      <c r="AJV265" s="189"/>
      <c r="AJW265" s="189"/>
      <c r="AJX265" s="189"/>
      <c r="AJY265" s="189"/>
      <c r="AJZ265" s="189"/>
      <c r="AKA265" s="189"/>
      <c r="AKB265" s="189"/>
      <c r="AKC265" s="189"/>
      <c r="AKD265" s="189"/>
      <c r="AKE265" s="189"/>
      <c r="AKF265" s="189"/>
      <c r="AKG265" s="189"/>
      <c r="AKH265" s="189"/>
      <c r="AKI265" s="189"/>
      <c r="AKJ265" s="189"/>
      <c r="AKK265" s="189"/>
      <c r="AKL265" s="189"/>
      <c r="AKM265" s="189"/>
      <c r="AKN265" s="189"/>
      <c r="AKO265" s="189"/>
      <c r="AKP265" s="189"/>
      <c r="AKQ265" s="189"/>
      <c r="AKR265" s="189"/>
      <c r="AKS265" s="189"/>
      <c r="AKT265" s="189"/>
      <c r="AKU265" s="189"/>
      <c r="AKV265" s="189"/>
      <c r="AKW265" s="189"/>
      <c r="AKX265" s="189"/>
      <c r="AKY265" s="189"/>
      <c r="AKZ265" s="189"/>
      <c r="ALA265" s="189"/>
      <c r="ALB265" s="189"/>
      <c r="ALC265" s="189"/>
      <c r="ALD265" s="189"/>
      <c r="ALE265" s="189"/>
      <c r="ALF265" s="189"/>
      <c r="ALG265" s="189"/>
      <c r="ALH265" s="189"/>
      <c r="ALI265" s="189"/>
      <c r="ALJ265" s="189"/>
      <c r="ALK265" s="189"/>
      <c r="ALL265" s="189"/>
      <c r="ALM265" s="189"/>
      <c r="ALN265" s="189"/>
      <c r="ALO265" s="189"/>
      <c r="ALP265" s="189"/>
      <c r="ALQ265" s="189"/>
      <c r="ALR265" s="189"/>
      <c r="ALS265" s="189"/>
      <c r="ALT265" s="189"/>
      <c r="ALU265" s="189"/>
      <c r="ALV265" s="189"/>
      <c r="ALW265" s="189"/>
      <c r="ALX265" s="189"/>
      <c r="ALY265" s="189"/>
      <c r="ALZ265" s="189"/>
      <c r="AMA265" s="189"/>
      <c r="AMB265" s="189"/>
      <c r="AMC265" s="189"/>
      <c r="AMD265" s="189"/>
      <c r="AME265" s="189"/>
      <c r="AMF265" s="189"/>
      <c r="AMG265" s="189"/>
      <c r="AMH265" s="189"/>
      <c r="AMI265" s="189"/>
      <c r="AMJ265" s="189"/>
    </row>
    <row r="266" s="43" customFormat="true" ht="58.2" hidden="false" customHeight="false" outlineLevel="0" collapsed="false">
      <c r="A266" s="181" t="s">
        <v>729</v>
      </c>
      <c r="B266" s="187" t="s">
        <v>730</v>
      </c>
      <c r="C266" s="183" t="s">
        <v>725</v>
      </c>
      <c r="D266" s="188" t="s">
        <v>731</v>
      </c>
      <c r="E266" s="183" t="s">
        <v>727</v>
      </c>
      <c r="F266" s="183"/>
      <c r="G266" s="186" t="n">
        <f aca="false">2.73*1.2</f>
        <v>3.276</v>
      </c>
      <c r="H266" s="4"/>
      <c r="I266" s="42" t="s">
        <v>728</v>
      </c>
      <c r="J266" s="42" t="s">
        <v>90</v>
      </c>
      <c r="K266" s="56"/>
      <c r="L266" s="42" t="s">
        <v>130</v>
      </c>
      <c r="M266" s="4"/>
      <c r="N266" s="4"/>
      <c r="O266" s="4"/>
      <c r="P266" s="4"/>
      <c r="Q266" s="4"/>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89"/>
      <c r="BM266" s="189"/>
      <c r="BN266" s="189"/>
      <c r="BO266" s="189"/>
      <c r="BP266" s="189"/>
      <c r="BQ266" s="189"/>
      <c r="BR266" s="189"/>
      <c r="BS266" s="189"/>
      <c r="BT266" s="189"/>
      <c r="BU266" s="189"/>
      <c r="BV266" s="189"/>
      <c r="BW266" s="189"/>
      <c r="BX266" s="189"/>
      <c r="BY266" s="189"/>
      <c r="BZ266" s="189"/>
      <c r="CA266" s="189"/>
      <c r="CB266" s="189"/>
      <c r="CC266" s="189"/>
      <c r="CD266" s="189"/>
      <c r="CE266" s="189"/>
      <c r="CF266" s="189"/>
      <c r="CG266" s="189"/>
      <c r="CH266" s="189"/>
      <c r="CI266" s="189"/>
      <c r="CJ266" s="189"/>
      <c r="CK266" s="189"/>
      <c r="CL266" s="189"/>
      <c r="CM266" s="189"/>
      <c r="CN266" s="189"/>
      <c r="CO266" s="189"/>
      <c r="CP266" s="189"/>
      <c r="CQ266" s="189"/>
      <c r="CR266" s="189"/>
      <c r="CS266" s="189"/>
      <c r="CT266" s="189"/>
      <c r="CU266" s="189"/>
      <c r="CV266" s="189"/>
      <c r="CW266" s="189"/>
      <c r="CX266" s="189"/>
      <c r="CY266" s="189"/>
      <c r="CZ266" s="189"/>
      <c r="DA266" s="189"/>
      <c r="DB266" s="189"/>
      <c r="DC266" s="189"/>
      <c r="DD266" s="189"/>
      <c r="DE266" s="189"/>
      <c r="DF266" s="189"/>
      <c r="DG266" s="189"/>
      <c r="DH266" s="189"/>
      <c r="DI266" s="189"/>
      <c r="DJ266" s="189"/>
      <c r="DK266" s="189"/>
      <c r="DL266" s="189"/>
      <c r="DM266" s="189"/>
      <c r="DN266" s="189"/>
      <c r="DO266" s="189"/>
      <c r="DP266" s="189"/>
      <c r="DQ266" s="189"/>
      <c r="DR266" s="189"/>
      <c r="DS266" s="189"/>
      <c r="DT266" s="189"/>
      <c r="DU266" s="189"/>
      <c r="DV266" s="189"/>
      <c r="DW266" s="189"/>
      <c r="DX266" s="189"/>
      <c r="DY266" s="189"/>
      <c r="DZ266" s="189"/>
      <c r="EA266" s="189"/>
      <c r="EB266" s="189"/>
      <c r="EC266" s="189"/>
      <c r="ED266" s="189"/>
      <c r="EE266" s="189"/>
      <c r="EF266" s="189"/>
      <c r="EG266" s="189"/>
      <c r="EH266" s="189"/>
      <c r="EI266" s="189"/>
      <c r="EJ266" s="189"/>
      <c r="EK266" s="189"/>
      <c r="EL266" s="189"/>
      <c r="EM266" s="189"/>
      <c r="EN266" s="189"/>
      <c r="EO266" s="189"/>
      <c r="EP266" s="189"/>
      <c r="EQ266" s="189"/>
      <c r="ER266" s="189"/>
      <c r="ES266" s="189"/>
      <c r="ET266" s="189"/>
      <c r="EU266" s="189"/>
      <c r="EV266" s="189"/>
      <c r="EW266" s="189"/>
      <c r="EX266" s="189"/>
      <c r="EY266" s="189"/>
      <c r="EZ266" s="189"/>
      <c r="FA266" s="189"/>
      <c r="FB266" s="189"/>
      <c r="FC266" s="189"/>
      <c r="FD266" s="189"/>
      <c r="FE266" s="189"/>
      <c r="FF266" s="189"/>
      <c r="FG266" s="189"/>
      <c r="FH266" s="189"/>
      <c r="FI266" s="189"/>
      <c r="FJ266" s="189"/>
      <c r="FK266" s="189"/>
      <c r="FL266" s="189"/>
      <c r="FM266" s="189"/>
      <c r="FN266" s="189"/>
      <c r="FO266" s="189"/>
      <c r="FP266" s="189"/>
      <c r="FQ266" s="189"/>
      <c r="FR266" s="189"/>
      <c r="FS266" s="189"/>
      <c r="FT266" s="189"/>
      <c r="FU266" s="189"/>
      <c r="FV266" s="189"/>
      <c r="FW266" s="189"/>
      <c r="FX266" s="189"/>
      <c r="FY266" s="189"/>
      <c r="FZ266" s="189"/>
      <c r="GA266" s="189"/>
      <c r="GB266" s="189"/>
      <c r="GC266" s="189"/>
      <c r="GD266" s="189"/>
      <c r="GE266" s="189"/>
      <c r="GF266" s="189"/>
      <c r="GG266" s="189"/>
      <c r="GH266" s="189"/>
      <c r="GI266" s="189"/>
      <c r="GJ266" s="189"/>
      <c r="GK266" s="189"/>
      <c r="GL266" s="189"/>
      <c r="GM266" s="189"/>
      <c r="GN266" s="189"/>
      <c r="GO266" s="189"/>
      <c r="GP266" s="189"/>
      <c r="GQ266" s="189"/>
      <c r="GR266" s="189"/>
      <c r="GS266" s="189"/>
      <c r="GT266" s="189"/>
      <c r="GU266" s="189"/>
      <c r="GV266" s="189"/>
      <c r="GW266" s="189"/>
      <c r="GX266" s="189"/>
      <c r="GY266" s="189"/>
      <c r="GZ266" s="189"/>
      <c r="HA266" s="189"/>
      <c r="HB266" s="189"/>
      <c r="HC266" s="189"/>
      <c r="HD266" s="189"/>
      <c r="HE266" s="189"/>
      <c r="HF266" s="189"/>
      <c r="HG266" s="189"/>
      <c r="HH266" s="189"/>
      <c r="HI266" s="189"/>
      <c r="HJ266" s="189"/>
      <c r="HK266" s="189"/>
      <c r="HL266" s="189"/>
      <c r="HM266" s="189"/>
      <c r="HN266" s="189"/>
      <c r="HO266" s="189"/>
      <c r="HP266" s="189"/>
      <c r="HQ266" s="189"/>
      <c r="HR266" s="189"/>
      <c r="HS266" s="189"/>
      <c r="HT266" s="189"/>
      <c r="HU266" s="189"/>
      <c r="HV266" s="189"/>
      <c r="HW266" s="189"/>
      <c r="HX266" s="189"/>
      <c r="HY266" s="189"/>
      <c r="HZ266" s="189"/>
      <c r="IA266" s="189"/>
      <c r="IB266" s="189"/>
      <c r="IC266" s="189"/>
      <c r="ID266" s="189"/>
      <c r="IE266" s="189"/>
      <c r="IF266" s="189"/>
      <c r="IG266" s="189"/>
      <c r="IH266" s="189"/>
      <c r="II266" s="189"/>
      <c r="IJ266" s="189"/>
      <c r="IK266" s="189"/>
      <c r="IL266" s="189"/>
      <c r="IM266" s="189"/>
      <c r="IN266" s="189"/>
      <c r="IO266" s="189"/>
      <c r="IP266" s="189"/>
      <c r="IQ266" s="189"/>
      <c r="IR266" s="189"/>
      <c r="IS266" s="189"/>
      <c r="IT266" s="189"/>
      <c r="IU266" s="189"/>
      <c r="IV266" s="189"/>
      <c r="IW266" s="189"/>
      <c r="IX266" s="189"/>
      <c r="IY266" s="189"/>
      <c r="IZ266" s="189"/>
      <c r="JA266" s="189"/>
      <c r="JB266" s="189"/>
      <c r="JC266" s="189"/>
      <c r="JD266" s="189"/>
      <c r="JE266" s="189"/>
      <c r="JF266" s="189"/>
      <c r="JG266" s="189"/>
      <c r="JH266" s="189"/>
      <c r="JI266" s="189"/>
      <c r="JJ266" s="189"/>
      <c r="JK266" s="189"/>
      <c r="JL266" s="189"/>
      <c r="JM266" s="189"/>
      <c r="JN266" s="189"/>
      <c r="JO266" s="189"/>
      <c r="JP266" s="189"/>
      <c r="JQ266" s="189"/>
      <c r="JR266" s="189"/>
      <c r="JS266" s="189"/>
      <c r="JT266" s="189"/>
      <c r="JU266" s="189"/>
      <c r="JV266" s="189"/>
      <c r="JW266" s="189"/>
      <c r="JX266" s="189"/>
      <c r="JY266" s="189"/>
      <c r="JZ266" s="189"/>
      <c r="KA266" s="189"/>
      <c r="KB266" s="189"/>
      <c r="KC266" s="189"/>
      <c r="KD266" s="189"/>
      <c r="KE266" s="189"/>
      <c r="KF266" s="189"/>
      <c r="KG266" s="189"/>
      <c r="KH266" s="189"/>
      <c r="KI266" s="189"/>
      <c r="KJ266" s="189"/>
      <c r="KK266" s="189"/>
      <c r="KL266" s="189"/>
      <c r="KM266" s="189"/>
      <c r="KN266" s="189"/>
      <c r="KO266" s="189"/>
      <c r="KP266" s="189"/>
      <c r="KQ266" s="189"/>
      <c r="KR266" s="189"/>
      <c r="KS266" s="189"/>
      <c r="KT266" s="189"/>
      <c r="KU266" s="189"/>
      <c r="KV266" s="189"/>
      <c r="KW266" s="189"/>
      <c r="KX266" s="189"/>
      <c r="KY266" s="189"/>
      <c r="KZ266" s="189"/>
      <c r="LA266" s="189"/>
      <c r="LB266" s="189"/>
      <c r="LC266" s="189"/>
      <c r="LD266" s="189"/>
      <c r="LE266" s="189"/>
      <c r="LF266" s="189"/>
      <c r="LG266" s="189"/>
      <c r="LH266" s="189"/>
      <c r="LI266" s="189"/>
      <c r="LJ266" s="189"/>
      <c r="LK266" s="189"/>
      <c r="LL266" s="189"/>
      <c r="LM266" s="189"/>
      <c r="LN266" s="189"/>
      <c r="LO266" s="189"/>
      <c r="LP266" s="189"/>
      <c r="LQ266" s="189"/>
      <c r="LR266" s="189"/>
      <c r="LS266" s="189"/>
      <c r="LT266" s="189"/>
      <c r="LU266" s="189"/>
      <c r="LV266" s="189"/>
      <c r="LW266" s="189"/>
      <c r="LX266" s="189"/>
      <c r="LY266" s="189"/>
      <c r="LZ266" s="189"/>
      <c r="MA266" s="189"/>
      <c r="MB266" s="189"/>
      <c r="MC266" s="189"/>
      <c r="MD266" s="189"/>
      <c r="ME266" s="189"/>
      <c r="MF266" s="189"/>
      <c r="MG266" s="189"/>
      <c r="MH266" s="189"/>
      <c r="MI266" s="189"/>
      <c r="MJ266" s="189"/>
      <c r="MK266" s="189"/>
      <c r="ML266" s="189"/>
      <c r="MM266" s="189"/>
      <c r="MN266" s="189"/>
      <c r="MO266" s="189"/>
      <c r="MP266" s="189"/>
      <c r="MQ266" s="189"/>
      <c r="MR266" s="189"/>
      <c r="MS266" s="189"/>
      <c r="MT266" s="189"/>
      <c r="MU266" s="189"/>
      <c r="MV266" s="189"/>
      <c r="MW266" s="189"/>
      <c r="MX266" s="189"/>
      <c r="MY266" s="189"/>
      <c r="MZ266" s="189"/>
      <c r="NA266" s="189"/>
      <c r="NB266" s="189"/>
      <c r="NC266" s="189"/>
      <c r="ND266" s="189"/>
      <c r="NE266" s="189"/>
      <c r="NF266" s="189"/>
      <c r="NG266" s="189"/>
      <c r="NH266" s="189"/>
      <c r="NI266" s="189"/>
      <c r="NJ266" s="189"/>
      <c r="NK266" s="189"/>
      <c r="NL266" s="189"/>
      <c r="NM266" s="189"/>
      <c r="NN266" s="189"/>
      <c r="NO266" s="189"/>
      <c r="NP266" s="189"/>
      <c r="NQ266" s="189"/>
      <c r="NR266" s="189"/>
      <c r="NS266" s="189"/>
      <c r="NT266" s="189"/>
      <c r="NU266" s="189"/>
      <c r="NV266" s="189"/>
      <c r="NW266" s="189"/>
      <c r="NX266" s="189"/>
      <c r="NY266" s="189"/>
      <c r="NZ266" s="189"/>
      <c r="OA266" s="189"/>
      <c r="OB266" s="189"/>
      <c r="OC266" s="189"/>
      <c r="OD266" s="189"/>
      <c r="OE266" s="189"/>
      <c r="OF266" s="189"/>
      <c r="OG266" s="189"/>
      <c r="OH266" s="189"/>
      <c r="OI266" s="189"/>
      <c r="OJ266" s="189"/>
      <c r="OK266" s="189"/>
      <c r="OL266" s="189"/>
      <c r="OM266" s="189"/>
      <c r="ON266" s="189"/>
      <c r="OO266" s="189"/>
      <c r="OP266" s="189"/>
      <c r="OQ266" s="189"/>
      <c r="OR266" s="189"/>
      <c r="OS266" s="189"/>
      <c r="OT266" s="189"/>
      <c r="OU266" s="189"/>
      <c r="OV266" s="189"/>
      <c r="OW266" s="189"/>
      <c r="OX266" s="189"/>
      <c r="OY266" s="189"/>
      <c r="OZ266" s="189"/>
      <c r="PA266" s="189"/>
      <c r="PB266" s="189"/>
      <c r="PC266" s="189"/>
      <c r="PD266" s="189"/>
      <c r="PE266" s="189"/>
      <c r="PF266" s="189"/>
      <c r="PG266" s="189"/>
      <c r="PH266" s="189"/>
      <c r="PI266" s="189"/>
      <c r="PJ266" s="189"/>
      <c r="PK266" s="189"/>
      <c r="PL266" s="189"/>
      <c r="PM266" s="189"/>
      <c r="PN266" s="189"/>
      <c r="PO266" s="189"/>
      <c r="PP266" s="189"/>
      <c r="PQ266" s="189"/>
      <c r="PR266" s="189"/>
      <c r="PS266" s="189"/>
      <c r="PT266" s="189"/>
      <c r="PU266" s="189"/>
      <c r="PV266" s="189"/>
      <c r="PW266" s="189"/>
      <c r="PX266" s="189"/>
      <c r="PY266" s="189"/>
      <c r="PZ266" s="189"/>
      <c r="QA266" s="189"/>
      <c r="QB266" s="189"/>
      <c r="QC266" s="189"/>
      <c r="QD266" s="189"/>
      <c r="QE266" s="189"/>
      <c r="QF266" s="189"/>
      <c r="QG266" s="189"/>
      <c r="QH266" s="189"/>
      <c r="QI266" s="189"/>
      <c r="QJ266" s="189"/>
      <c r="QK266" s="189"/>
      <c r="QL266" s="189"/>
      <c r="QM266" s="189"/>
      <c r="QN266" s="189"/>
      <c r="QO266" s="189"/>
      <c r="QP266" s="189"/>
      <c r="QQ266" s="189"/>
      <c r="QR266" s="189"/>
      <c r="QS266" s="189"/>
      <c r="QT266" s="189"/>
      <c r="QU266" s="189"/>
      <c r="QV266" s="189"/>
      <c r="QW266" s="189"/>
      <c r="QX266" s="189"/>
      <c r="QY266" s="189"/>
      <c r="QZ266" s="189"/>
      <c r="RA266" s="189"/>
      <c r="RB266" s="189"/>
      <c r="RC266" s="189"/>
      <c r="RD266" s="189"/>
      <c r="RE266" s="189"/>
      <c r="RF266" s="189"/>
      <c r="RG266" s="189"/>
      <c r="RH266" s="189"/>
      <c r="RI266" s="189"/>
      <c r="RJ266" s="189"/>
      <c r="RK266" s="189"/>
      <c r="RL266" s="189"/>
      <c r="RM266" s="189"/>
      <c r="RN266" s="189"/>
      <c r="RO266" s="189"/>
      <c r="RP266" s="189"/>
      <c r="RQ266" s="189"/>
      <c r="RR266" s="189"/>
      <c r="RS266" s="189"/>
      <c r="RT266" s="189"/>
      <c r="RU266" s="189"/>
      <c r="RV266" s="189"/>
      <c r="RW266" s="189"/>
      <c r="RX266" s="189"/>
      <c r="RY266" s="189"/>
      <c r="RZ266" s="189"/>
      <c r="SA266" s="189"/>
      <c r="SB266" s="189"/>
      <c r="SC266" s="189"/>
      <c r="SD266" s="189"/>
      <c r="SE266" s="189"/>
      <c r="SF266" s="189"/>
      <c r="SG266" s="189"/>
      <c r="SH266" s="189"/>
      <c r="SI266" s="189"/>
      <c r="SJ266" s="189"/>
      <c r="SK266" s="189"/>
      <c r="SL266" s="189"/>
      <c r="SM266" s="189"/>
      <c r="SN266" s="189"/>
      <c r="SO266" s="189"/>
      <c r="SP266" s="189"/>
      <c r="SQ266" s="189"/>
      <c r="SR266" s="189"/>
      <c r="SS266" s="189"/>
      <c r="ST266" s="189"/>
      <c r="SU266" s="189"/>
      <c r="SV266" s="189"/>
      <c r="SW266" s="189"/>
      <c r="SX266" s="189"/>
      <c r="SY266" s="189"/>
      <c r="SZ266" s="189"/>
      <c r="TA266" s="189"/>
      <c r="TB266" s="189"/>
      <c r="TC266" s="189"/>
      <c r="TD266" s="189"/>
      <c r="TE266" s="189"/>
      <c r="TF266" s="189"/>
      <c r="TG266" s="189"/>
      <c r="TH266" s="189"/>
      <c r="TI266" s="189"/>
      <c r="TJ266" s="189"/>
      <c r="TK266" s="189"/>
      <c r="TL266" s="189"/>
      <c r="TM266" s="189"/>
      <c r="TN266" s="189"/>
      <c r="TO266" s="189"/>
      <c r="TP266" s="189"/>
      <c r="TQ266" s="189"/>
      <c r="TR266" s="189"/>
      <c r="TS266" s="189"/>
      <c r="TT266" s="189"/>
      <c r="TU266" s="189"/>
      <c r="TV266" s="189"/>
      <c r="TW266" s="189"/>
      <c r="TX266" s="189"/>
      <c r="TY266" s="189"/>
      <c r="TZ266" s="189"/>
      <c r="UA266" s="189"/>
      <c r="UB266" s="189"/>
      <c r="UC266" s="189"/>
      <c r="UD266" s="189"/>
      <c r="UE266" s="189"/>
      <c r="UF266" s="189"/>
      <c r="UG266" s="189"/>
      <c r="UH266" s="189"/>
      <c r="UI266" s="189"/>
      <c r="UJ266" s="189"/>
      <c r="UK266" s="189"/>
      <c r="UL266" s="189"/>
      <c r="UM266" s="189"/>
      <c r="UN266" s="189"/>
      <c r="UO266" s="189"/>
      <c r="UP266" s="189"/>
      <c r="UQ266" s="189"/>
      <c r="UR266" s="189"/>
      <c r="US266" s="189"/>
      <c r="UT266" s="189"/>
      <c r="UU266" s="189"/>
      <c r="UV266" s="189"/>
      <c r="UW266" s="189"/>
      <c r="UX266" s="189"/>
      <c r="UY266" s="189"/>
      <c r="UZ266" s="189"/>
      <c r="VA266" s="189"/>
      <c r="VB266" s="189"/>
      <c r="VC266" s="189"/>
      <c r="VD266" s="189"/>
      <c r="VE266" s="189"/>
      <c r="VF266" s="189"/>
      <c r="VG266" s="189"/>
      <c r="VH266" s="189"/>
      <c r="VI266" s="189"/>
      <c r="VJ266" s="189"/>
      <c r="VK266" s="189"/>
      <c r="VL266" s="189"/>
      <c r="VM266" s="189"/>
      <c r="VN266" s="189"/>
      <c r="VO266" s="189"/>
      <c r="VP266" s="189"/>
      <c r="VQ266" s="189"/>
      <c r="VR266" s="189"/>
      <c r="VS266" s="189"/>
      <c r="VT266" s="189"/>
      <c r="VU266" s="189"/>
      <c r="VV266" s="189"/>
      <c r="VW266" s="189"/>
      <c r="VX266" s="189"/>
      <c r="VY266" s="189"/>
      <c r="VZ266" s="189"/>
      <c r="WA266" s="189"/>
      <c r="WB266" s="189"/>
      <c r="WC266" s="189"/>
      <c r="WD266" s="189"/>
      <c r="WE266" s="189"/>
      <c r="WF266" s="189"/>
      <c r="WG266" s="189"/>
      <c r="WH266" s="189"/>
      <c r="WI266" s="189"/>
      <c r="WJ266" s="189"/>
      <c r="WK266" s="189"/>
      <c r="WL266" s="189"/>
      <c r="WM266" s="189"/>
      <c r="WN266" s="189"/>
      <c r="WO266" s="189"/>
      <c r="WP266" s="189"/>
      <c r="WQ266" s="189"/>
      <c r="WR266" s="189"/>
      <c r="WS266" s="189"/>
      <c r="WT266" s="189"/>
      <c r="WU266" s="189"/>
      <c r="WV266" s="189"/>
      <c r="WW266" s="189"/>
      <c r="WX266" s="189"/>
      <c r="WY266" s="189"/>
      <c r="WZ266" s="189"/>
      <c r="XA266" s="189"/>
      <c r="XB266" s="189"/>
      <c r="XC266" s="189"/>
      <c r="XD266" s="189"/>
      <c r="XE266" s="189"/>
      <c r="XF266" s="189"/>
      <c r="XG266" s="189"/>
      <c r="XH266" s="189"/>
      <c r="XI266" s="189"/>
      <c r="XJ266" s="189"/>
      <c r="XK266" s="189"/>
      <c r="XL266" s="189"/>
      <c r="XM266" s="189"/>
      <c r="XN266" s="189"/>
      <c r="XO266" s="189"/>
      <c r="XP266" s="189"/>
      <c r="XQ266" s="189"/>
      <c r="XR266" s="189"/>
      <c r="XS266" s="189"/>
      <c r="XT266" s="189"/>
      <c r="XU266" s="189"/>
      <c r="XV266" s="189"/>
      <c r="XW266" s="189"/>
      <c r="XX266" s="189"/>
      <c r="XY266" s="189"/>
      <c r="XZ266" s="189"/>
      <c r="YA266" s="189"/>
      <c r="YB266" s="189"/>
      <c r="YC266" s="189"/>
      <c r="YD266" s="189"/>
      <c r="YE266" s="189"/>
      <c r="YF266" s="189"/>
      <c r="YG266" s="189"/>
      <c r="YH266" s="189"/>
      <c r="YI266" s="189"/>
      <c r="YJ266" s="189"/>
      <c r="YK266" s="189"/>
      <c r="YL266" s="189"/>
      <c r="YM266" s="189"/>
      <c r="YN266" s="189"/>
      <c r="YO266" s="189"/>
      <c r="YP266" s="189"/>
      <c r="YQ266" s="189"/>
      <c r="YR266" s="189"/>
      <c r="YS266" s="189"/>
      <c r="YT266" s="189"/>
      <c r="YU266" s="189"/>
      <c r="YV266" s="189"/>
      <c r="YW266" s="189"/>
      <c r="YX266" s="189"/>
      <c r="YY266" s="189"/>
      <c r="YZ266" s="189"/>
      <c r="ZA266" s="189"/>
      <c r="ZB266" s="189"/>
      <c r="ZC266" s="189"/>
      <c r="ZD266" s="189"/>
      <c r="ZE266" s="189"/>
      <c r="ZF266" s="189"/>
      <c r="ZG266" s="189"/>
      <c r="ZH266" s="189"/>
      <c r="ZI266" s="189"/>
      <c r="ZJ266" s="189"/>
      <c r="ZK266" s="189"/>
      <c r="ZL266" s="189"/>
      <c r="ZM266" s="189"/>
      <c r="ZN266" s="189"/>
      <c r="ZO266" s="189"/>
      <c r="ZP266" s="189"/>
      <c r="ZQ266" s="189"/>
      <c r="ZR266" s="189"/>
      <c r="ZS266" s="189"/>
      <c r="ZT266" s="189"/>
      <c r="ZU266" s="189"/>
      <c r="ZV266" s="189"/>
      <c r="ZW266" s="189"/>
      <c r="ZX266" s="189"/>
      <c r="ZY266" s="189"/>
      <c r="ZZ266" s="189"/>
      <c r="AAA266" s="189"/>
      <c r="AAB266" s="189"/>
      <c r="AAC266" s="189"/>
      <c r="AAD266" s="189"/>
      <c r="AAE266" s="189"/>
      <c r="AAF266" s="189"/>
      <c r="AAG266" s="189"/>
      <c r="AAH266" s="189"/>
      <c r="AAI266" s="189"/>
      <c r="AAJ266" s="189"/>
      <c r="AAK266" s="189"/>
      <c r="AAL266" s="189"/>
      <c r="AAM266" s="189"/>
      <c r="AAN266" s="189"/>
      <c r="AAO266" s="189"/>
      <c r="AAP266" s="189"/>
      <c r="AAQ266" s="189"/>
      <c r="AAR266" s="189"/>
      <c r="AAS266" s="189"/>
      <c r="AAT266" s="189"/>
      <c r="AAU266" s="189"/>
      <c r="AAV266" s="189"/>
      <c r="AAW266" s="189"/>
      <c r="AAX266" s="189"/>
      <c r="AAY266" s="189"/>
      <c r="AAZ266" s="189"/>
      <c r="ABA266" s="189"/>
      <c r="ABB266" s="189"/>
      <c r="ABC266" s="189"/>
      <c r="ABD266" s="189"/>
      <c r="ABE266" s="189"/>
      <c r="ABF266" s="189"/>
      <c r="ABG266" s="189"/>
      <c r="ABH266" s="189"/>
      <c r="ABI266" s="189"/>
      <c r="ABJ266" s="189"/>
      <c r="ABK266" s="189"/>
      <c r="ABL266" s="189"/>
      <c r="ABM266" s="189"/>
      <c r="ABN266" s="189"/>
      <c r="ABO266" s="189"/>
      <c r="ABP266" s="189"/>
      <c r="ABQ266" s="189"/>
      <c r="ABR266" s="189"/>
      <c r="ABS266" s="189"/>
      <c r="ABT266" s="189"/>
      <c r="ABU266" s="189"/>
      <c r="ABV266" s="189"/>
      <c r="ABW266" s="189"/>
      <c r="ABX266" s="189"/>
      <c r="ABY266" s="189"/>
      <c r="ABZ266" s="189"/>
      <c r="ACA266" s="189"/>
      <c r="ACB266" s="189"/>
      <c r="ACC266" s="189"/>
      <c r="ACD266" s="189"/>
      <c r="ACE266" s="189"/>
      <c r="ACF266" s="189"/>
      <c r="ACG266" s="189"/>
      <c r="ACH266" s="189"/>
      <c r="ACI266" s="189"/>
      <c r="ACJ266" s="189"/>
      <c r="ACK266" s="189"/>
      <c r="ACL266" s="189"/>
      <c r="ACM266" s="189"/>
      <c r="ACN266" s="189"/>
      <c r="ACO266" s="189"/>
      <c r="ACP266" s="189"/>
      <c r="ACQ266" s="189"/>
      <c r="ACR266" s="189"/>
      <c r="ACS266" s="189"/>
      <c r="ACT266" s="189"/>
      <c r="ACU266" s="189"/>
      <c r="ACV266" s="189"/>
      <c r="ACW266" s="189"/>
      <c r="ACX266" s="189"/>
      <c r="ACY266" s="189"/>
      <c r="ACZ266" s="189"/>
      <c r="ADA266" s="189"/>
      <c r="ADB266" s="189"/>
      <c r="ADC266" s="189"/>
      <c r="ADD266" s="189"/>
      <c r="ADE266" s="189"/>
      <c r="ADF266" s="189"/>
      <c r="ADG266" s="189"/>
      <c r="ADH266" s="189"/>
      <c r="ADI266" s="189"/>
      <c r="ADJ266" s="189"/>
      <c r="ADK266" s="189"/>
      <c r="ADL266" s="189"/>
      <c r="ADM266" s="189"/>
      <c r="ADN266" s="189"/>
      <c r="ADO266" s="189"/>
      <c r="ADP266" s="189"/>
      <c r="ADQ266" s="189"/>
      <c r="ADR266" s="189"/>
      <c r="ADS266" s="189"/>
      <c r="ADT266" s="189"/>
      <c r="ADU266" s="189"/>
      <c r="ADV266" s="189"/>
      <c r="ADW266" s="189"/>
      <c r="ADX266" s="189"/>
      <c r="ADY266" s="189"/>
      <c r="ADZ266" s="189"/>
      <c r="AEA266" s="189"/>
      <c r="AEB266" s="189"/>
      <c r="AEC266" s="189"/>
      <c r="AED266" s="189"/>
      <c r="AEE266" s="189"/>
      <c r="AEF266" s="189"/>
      <c r="AEG266" s="189"/>
      <c r="AEH266" s="189"/>
      <c r="AEI266" s="189"/>
      <c r="AEJ266" s="189"/>
      <c r="AEK266" s="189"/>
      <c r="AEL266" s="189"/>
      <c r="AEM266" s="189"/>
      <c r="AEN266" s="189"/>
      <c r="AEO266" s="189"/>
      <c r="AEP266" s="189"/>
      <c r="AEQ266" s="189"/>
      <c r="AER266" s="189"/>
      <c r="AES266" s="189"/>
      <c r="AET266" s="189"/>
      <c r="AEU266" s="189"/>
      <c r="AEV266" s="189"/>
      <c r="AEW266" s="189"/>
      <c r="AEX266" s="189"/>
      <c r="AEY266" s="189"/>
      <c r="AEZ266" s="189"/>
      <c r="AFA266" s="189"/>
      <c r="AFB266" s="189"/>
      <c r="AFC266" s="189"/>
      <c r="AFD266" s="189"/>
      <c r="AFE266" s="189"/>
      <c r="AFF266" s="189"/>
      <c r="AFG266" s="189"/>
      <c r="AFH266" s="189"/>
      <c r="AFI266" s="189"/>
      <c r="AFJ266" s="189"/>
      <c r="AFK266" s="189"/>
      <c r="AFL266" s="189"/>
      <c r="AFM266" s="189"/>
      <c r="AFN266" s="189"/>
      <c r="AFO266" s="189"/>
      <c r="AFP266" s="189"/>
      <c r="AFQ266" s="189"/>
      <c r="AFR266" s="189"/>
      <c r="AFS266" s="189"/>
      <c r="AFT266" s="189"/>
      <c r="AFU266" s="189"/>
      <c r="AFV266" s="189"/>
      <c r="AFW266" s="189"/>
      <c r="AFX266" s="189"/>
      <c r="AFY266" s="189"/>
      <c r="AFZ266" s="189"/>
      <c r="AGA266" s="189"/>
      <c r="AGB266" s="189"/>
      <c r="AGC266" s="189"/>
      <c r="AGD266" s="189"/>
      <c r="AGE266" s="189"/>
      <c r="AGF266" s="189"/>
      <c r="AGG266" s="189"/>
      <c r="AGH266" s="189"/>
      <c r="AGI266" s="189"/>
      <c r="AGJ266" s="189"/>
      <c r="AGK266" s="189"/>
      <c r="AGL266" s="189"/>
      <c r="AGM266" s="189"/>
      <c r="AGN266" s="189"/>
      <c r="AGO266" s="189"/>
      <c r="AGP266" s="189"/>
      <c r="AGQ266" s="189"/>
      <c r="AGR266" s="189"/>
      <c r="AGS266" s="189"/>
      <c r="AGT266" s="189"/>
      <c r="AGU266" s="189"/>
      <c r="AGV266" s="189"/>
      <c r="AGW266" s="189"/>
      <c r="AGX266" s="189"/>
      <c r="AGY266" s="189"/>
      <c r="AGZ266" s="189"/>
      <c r="AHA266" s="189"/>
      <c r="AHB266" s="189"/>
      <c r="AHC266" s="189"/>
      <c r="AHD266" s="189"/>
      <c r="AHE266" s="189"/>
      <c r="AHF266" s="189"/>
      <c r="AHG266" s="189"/>
      <c r="AHH266" s="189"/>
      <c r="AHI266" s="189"/>
      <c r="AHJ266" s="189"/>
      <c r="AHK266" s="189"/>
      <c r="AHL266" s="189"/>
      <c r="AHM266" s="189"/>
      <c r="AHN266" s="189"/>
      <c r="AHO266" s="189"/>
      <c r="AHP266" s="189"/>
      <c r="AHQ266" s="189"/>
      <c r="AHR266" s="189"/>
      <c r="AHS266" s="189"/>
      <c r="AHT266" s="189"/>
      <c r="AHU266" s="189"/>
      <c r="AHV266" s="189"/>
      <c r="AHW266" s="189"/>
      <c r="AHX266" s="189"/>
      <c r="AHY266" s="189"/>
      <c r="AHZ266" s="189"/>
      <c r="AIA266" s="189"/>
      <c r="AIB266" s="189"/>
      <c r="AIC266" s="189"/>
      <c r="AID266" s="189"/>
      <c r="AIE266" s="189"/>
      <c r="AIF266" s="189"/>
      <c r="AIG266" s="189"/>
      <c r="AIH266" s="189"/>
      <c r="AII266" s="189"/>
      <c r="AIJ266" s="189"/>
      <c r="AIK266" s="189"/>
      <c r="AIL266" s="189"/>
      <c r="AIM266" s="189"/>
      <c r="AIN266" s="189"/>
      <c r="AIO266" s="189"/>
      <c r="AIP266" s="189"/>
      <c r="AIQ266" s="189"/>
      <c r="AIR266" s="189"/>
      <c r="AIS266" s="189"/>
      <c r="AIT266" s="189"/>
      <c r="AIU266" s="189"/>
      <c r="AIV266" s="189"/>
      <c r="AIW266" s="189"/>
      <c r="AIX266" s="189"/>
      <c r="AIY266" s="189"/>
      <c r="AIZ266" s="189"/>
      <c r="AJA266" s="189"/>
      <c r="AJB266" s="189"/>
      <c r="AJC266" s="189"/>
      <c r="AJD266" s="189"/>
      <c r="AJE266" s="189"/>
      <c r="AJF266" s="189"/>
      <c r="AJG266" s="189"/>
      <c r="AJH266" s="189"/>
      <c r="AJI266" s="189"/>
      <c r="AJJ266" s="189"/>
      <c r="AJK266" s="189"/>
      <c r="AJL266" s="189"/>
      <c r="AJM266" s="189"/>
      <c r="AJN266" s="189"/>
      <c r="AJO266" s="189"/>
      <c r="AJP266" s="189"/>
      <c r="AJQ266" s="189"/>
      <c r="AJR266" s="189"/>
      <c r="AJS266" s="189"/>
      <c r="AJT266" s="189"/>
      <c r="AJU266" s="189"/>
      <c r="AJV266" s="189"/>
      <c r="AJW266" s="189"/>
      <c r="AJX266" s="189"/>
      <c r="AJY266" s="189"/>
      <c r="AJZ266" s="189"/>
      <c r="AKA266" s="189"/>
      <c r="AKB266" s="189"/>
      <c r="AKC266" s="189"/>
      <c r="AKD266" s="189"/>
      <c r="AKE266" s="189"/>
      <c r="AKF266" s="189"/>
      <c r="AKG266" s="189"/>
      <c r="AKH266" s="189"/>
      <c r="AKI266" s="189"/>
      <c r="AKJ266" s="189"/>
      <c r="AKK266" s="189"/>
      <c r="AKL266" s="189"/>
      <c r="AKM266" s="189"/>
      <c r="AKN266" s="189"/>
      <c r="AKO266" s="189"/>
      <c r="AKP266" s="189"/>
      <c r="AKQ266" s="189"/>
      <c r="AKR266" s="189"/>
      <c r="AKS266" s="189"/>
      <c r="AKT266" s="189"/>
      <c r="AKU266" s="189"/>
      <c r="AKV266" s="189"/>
      <c r="AKW266" s="189"/>
      <c r="AKX266" s="189"/>
      <c r="AKY266" s="189"/>
      <c r="AKZ266" s="189"/>
      <c r="ALA266" s="189"/>
      <c r="ALB266" s="189"/>
      <c r="ALC266" s="189"/>
      <c r="ALD266" s="189"/>
      <c r="ALE266" s="189"/>
      <c r="ALF266" s="189"/>
      <c r="ALG266" s="189"/>
      <c r="ALH266" s="189"/>
      <c r="ALI266" s="189"/>
      <c r="ALJ266" s="189"/>
      <c r="ALK266" s="189"/>
      <c r="ALL266" s="189"/>
      <c r="ALM266" s="189"/>
      <c r="ALN266" s="189"/>
      <c r="ALO266" s="189"/>
      <c r="ALP266" s="189"/>
      <c r="ALQ266" s="189"/>
      <c r="ALR266" s="189"/>
      <c r="ALS266" s="189"/>
      <c r="ALT266" s="189"/>
      <c r="ALU266" s="189"/>
      <c r="ALV266" s="189"/>
      <c r="ALW266" s="189"/>
      <c r="ALX266" s="189"/>
      <c r="ALY266" s="189"/>
      <c r="ALZ266" s="189"/>
      <c r="AMA266" s="189"/>
      <c r="AMB266" s="189"/>
      <c r="AMC266" s="189"/>
      <c r="AMD266" s="189"/>
      <c r="AME266" s="189"/>
      <c r="AMF266" s="189"/>
      <c r="AMG266" s="189"/>
      <c r="AMH266" s="189"/>
      <c r="AMI266" s="189"/>
      <c r="AMJ266" s="189"/>
    </row>
    <row r="267" s="43" customFormat="true" ht="86.55" hidden="false" customHeight="false" outlineLevel="0" collapsed="false">
      <c r="A267" s="181" t="s">
        <v>732</v>
      </c>
      <c r="B267" s="187" t="s">
        <v>733</v>
      </c>
      <c r="C267" s="183" t="s">
        <v>25</v>
      </c>
      <c r="D267" s="188" t="s">
        <v>734</v>
      </c>
      <c r="E267" s="183" t="s">
        <v>698</v>
      </c>
      <c r="F267" s="183" t="s">
        <v>13</v>
      </c>
      <c r="G267" s="186" t="n">
        <f aca="false">137.39*3</f>
        <v>412.17</v>
      </c>
      <c r="H267" s="9"/>
      <c r="I267" s="9"/>
      <c r="J267" s="9"/>
      <c r="K267" s="7"/>
      <c r="L267" s="7"/>
      <c r="M267" s="7"/>
      <c r="N267" s="7"/>
      <c r="O267" s="7"/>
      <c r="P267" s="7"/>
      <c r="Q267" s="7"/>
    </row>
    <row r="268" s="43" customFormat="true" ht="72.35" hidden="false" customHeight="false" outlineLevel="0" collapsed="false">
      <c r="A268" s="139" t="s">
        <v>735</v>
      </c>
      <c r="B268" s="190" t="s">
        <v>736</v>
      </c>
      <c r="C268" s="129" t="s">
        <v>25</v>
      </c>
      <c r="D268" s="141" t="s">
        <v>737</v>
      </c>
      <c r="E268" s="129" t="s">
        <v>698</v>
      </c>
      <c r="F268" s="129" t="s">
        <v>13</v>
      </c>
      <c r="G268" s="33" t="n">
        <f aca="false">137.39*6</f>
        <v>824.34</v>
      </c>
      <c r="H268" s="191"/>
      <c r="I268" s="191"/>
      <c r="J268" s="191"/>
      <c r="K268" s="192"/>
      <c r="L268" s="192"/>
      <c r="M268" s="192"/>
      <c r="N268" s="192"/>
      <c r="O268" s="192"/>
      <c r="P268" s="192"/>
      <c r="Q268" s="192"/>
    </row>
    <row r="269" s="43" customFormat="true" ht="72.35" hidden="false" customHeight="false" outlineLevel="0" collapsed="false">
      <c r="A269" s="181" t="s">
        <v>738</v>
      </c>
      <c r="B269" s="187" t="s">
        <v>739</v>
      </c>
      <c r="C269" s="183" t="s">
        <v>25</v>
      </c>
      <c r="D269" s="188" t="s">
        <v>740</v>
      </c>
      <c r="E269" s="183" t="s">
        <v>698</v>
      </c>
      <c r="F269" s="183" t="s">
        <v>13</v>
      </c>
      <c r="G269" s="186" t="n">
        <v>132.56</v>
      </c>
      <c r="H269" s="9"/>
      <c r="I269" s="9"/>
      <c r="J269" s="9"/>
      <c r="K269" s="7"/>
      <c r="L269" s="7"/>
      <c r="M269" s="7"/>
      <c r="N269" s="7"/>
      <c r="O269" s="7"/>
      <c r="P269" s="7"/>
      <c r="Q269" s="7"/>
    </row>
    <row r="270" customFormat="false" ht="24.45" hidden="false" customHeight="false" outlineLevel="0" collapsed="false">
      <c r="A270" s="7"/>
      <c r="B270" s="7"/>
      <c r="C270" s="7"/>
      <c r="D270" s="7"/>
      <c r="E270" s="7"/>
      <c r="F270" s="7"/>
      <c r="G270" s="7"/>
      <c r="H270" s="9"/>
      <c r="I270" s="9"/>
      <c r="J270" s="9"/>
      <c r="K270" s="7"/>
      <c r="L270" s="7"/>
      <c r="M270" s="7"/>
      <c r="N270" s="7"/>
      <c r="O270" s="7"/>
      <c r="P270" s="7"/>
      <c r="Q270" s="7"/>
    </row>
    <row r="271" customFormat="false" ht="24.45" hidden="false" customHeight="false" outlineLevel="0" collapsed="false">
      <c r="A271" s="193" t="s">
        <v>741</v>
      </c>
      <c r="B271" s="193"/>
      <c r="C271" s="193"/>
      <c r="D271" s="193"/>
      <c r="E271" s="193"/>
      <c r="F271" s="193"/>
      <c r="G271" s="193"/>
      <c r="H271" s="7"/>
      <c r="I271" s="7"/>
      <c r="J271" s="7"/>
      <c r="K271" s="7"/>
      <c r="L271" s="7"/>
      <c r="M271" s="7"/>
      <c r="N271" s="7"/>
      <c r="O271" s="7"/>
      <c r="P271" s="7"/>
      <c r="Q271" s="7"/>
    </row>
    <row r="272" customFormat="false" ht="29.85" hidden="false" customHeight="false" outlineLevel="0" collapsed="false">
      <c r="A272" s="194" t="s">
        <v>1</v>
      </c>
      <c r="B272" s="195" t="s">
        <v>2</v>
      </c>
      <c r="C272" s="195" t="s">
        <v>3</v>
      </c>
      <c r="D272" s="196" t="s">
        <v>4</v>
      </c>
      <c r="E272" s="195" t="s">
        <v>5</v>
      </c>
      <c r="F272" s="195" t="s">
        <v>6</v>
      </c>
      <c r="G272" s="197" t="s">
        <v>7</v>
      </c>
      <c r="H272" s="7"/>
      <c r="I272" s="7"/>
      <c r="J272" s="7"/>
      <c r="K272" s="7"/>
      <c r="L272" s="7"/>
      <c r="M272" s="7"/>
      <c r="N272" s="7"/>
      <c r="O272" s="7"/>
      <c r="P272" s="7"/>
      <c r="Q272" s="7"/>
    </row>
    <row r="273" customFormat="false" ht="86.55" hidden="false" customHeight="false" outlineLevel="0" collapsed="false">
      <c r="A273" s="198" t="s">
        <v>742</v>
      </c>
      <c r="B273" s="199" t="s">
        <v>743</v>
      </c>
      <c r="C273" s="200" t="s">
        <v>10</v>
      </c>
      <c r="D273" s="201" t="s">
        <v>744</v>
      </c>
      <c r="E273" s="202" t="s">
        <v>745</v>
      </c>
      <c r="F273" s="200" t="s">
        <v>13</v>
      </c>
      <c r="G273" s="203" t="n">
        <f aca="false">1719/3</f>
        <v>573</v>
      </c>
      <c r="H273" s="7"/>
      <c r="I273" s="7"/>
      <c r="J273" s="7"/>
      <c r="K273" s="7"/>
      <c r="L273" s="7"/>
      <c r="M273" s="7"/>
      <c r="N273" s="7"/>
      <c r="O273" s="7"/>
      <c r="P273" s="7"/>
      <c r="Q273" s="7"/>
    </row>
    <row r="274" customFormat="false" ht="58.2" hidden="false" customHeight="false" outlineLevel="0" collapsed="false">
      <c r="A274" s="198" t="s">
        <v>746</v>
      </c>
      <c r="B274" s="199" t="s">
        <v>747</v>
      </c>
      <c r="C274" s="200" t="s">
        <v>10</v>
      </c>
      <c r="D274" s="201" t="s">
        <v>748</v>
      </c>
      <c r="E274" s="202" t="s">
        <v>745</v>
      </c>
      <c r="F274" s="200" t="s">
        <v>13</v>
      </c>
      <c r="G274" s="203" t="n">
        <v>440</v>
      </c>
      <c r="H274" s="7"/>
      <c r="I274" s="7"/>
      <c r="J274" s="7"/>
      <c r="K274" s="4"/>
      <c r="L274" s="7"/>
      <c r="M274" s="7"/>
      <c r="N274" s="7"/>
      <c r="O274" s="7"/>
      <c r="P274" s="7"/>
      <c r="Q274" s="7"/>
    </row>
    <row r="275" customFormat="false" ht="72.35" hidden="false" customHeight="false" outlineLevel="0" collapsed="false">
      <c r="A275" s="198" t="s">
        <v>749</v>
      </c>
      <c r="B275" s="199" t="s">
        <v>750</v>
      </c>
      <c r="C275" s="200" t="s">
        <v>10</v>
      </c>
      <c r="D275" s="201" t="s">
        <v>751</v>
      </c>
      <c r="E275" s="202" t="s">
        <v>752</v>
      </c>
      <c r="F275" s="200" t="s">
        <v>13</v>
      </c>
      <c r="G275" s="203" t="n">
        <v>26</v>
      </c>
      <c r="H275" s="7"/>
      <c r="I275" s="7"/>
      <c r="J275" s="7"/>
      <c r="K275" s="4"/>
      <c r="L275" s="7"/>
      <c r="M275" s="7"/>
      <c r="N275" s="7"/>
      <c r="O275" s="7"/>
      <c r="P275" s="7"/>
      <c r="Q275" s="7"/>
    </row>
    <row r="276" customFormat="false" ht="72.35" hidden="false" customHeight="false" outlineLevel="0" collapsed="false">
      <c r="A276" s="198" t="s">
        <v>753</v>
      </c>
      <c r="B276" s="199" t="s">
        <v>754</v>
      </c>
      <c r="C276" s="200" t="s">
        <v>10</v>
      </c>
      <c r="D276" s="201" t="s">
        <v>755</v>
      </c>
      <c r="E276" s="202" t="s">
        <v>752</v>
      </c>
      <c r="F276" s="200" t="s">
        <v>13</v>
      </c>
      <c r="G276" s="203" t="n">
        <v>18.4</v>
      </c>
      <c r="H276" s="7"/>
      <c r="I276" s="7"/>
      <c r="J276" s="7"/>
      <c r="K276" s="4"/>
      <c r="L276" s="7"/>
      <c r="M276" s="7"/>
      <c r="N276" s="7"/>
      <c r="O276" s="7"/>
      <c r="P276" s="7"/>
      <c r="Q276" s="7"/>
    </row>
    <row r="277" customFormat="false" ht="58.2" hidden="false" customHeight="false" outlineLevel="0" collapsed="false">
      <c r="A277" s="198" t="s">
        <v>756</v>
      </c>
      <c r="B277" s="199" t="s">
        <v>757</v>
      </c>
      <c r="C277" s="200" t="s">
        <v>10</v>
      </c>
      <c r="D277" s="201" t="s">
        <v>758</v>
      </c>
      <c r="E277" s="202" t="s">
        <v>752</v>
      </c>
      <c r="F277" s="200" t="s">
        <v>13</v>
      </c>
      <c r="G277" s="203" t="n">
        <v>42</v>
      </c>
      <c r="H277" s="7"/>
      <c r="I277" s="7"/>
      <c r="J277" s="7"/>
      <c r="K277" s="4"/>
      <c r="L277" s="7"/>
      <c r="M277" s="7"/>
      <c r="N277" s="7"/>
      <c r="O277" s="7"/>
      <c r="P277" s="7"/>
      <c r="Q277" s="7"/>
    </row>
    <row r="278" customFormat="false" ht="29.85" hidden="false" customHeight="false" outlineLevel="0" collapsed="false">
      <c r="A278" s="86" t="s">
        <v>221</v>
      </c>
      <c r="B278" s="87" t="s">
        <v>222</v>
      </c>
      <c r="C278" s="88" t="s">
        <v>18</v>
      </c>
      <c r="D278" s="91" t="s">
        <v>223</v>
      </c>
      <c r="E278" s="95" t="s">
        <v>13</v>
      </c>
      <c r="F278" s="88" t="s">
        <v>13</v>
      </c>
      <c r="G278" s="90" t="n">
        <v>45.7</v>
      </c>
      <c r="H278" s="7"/>
      <c r="I278" s="7"/>
      <c r="J278" s="7"/>
      <c r="K278" s="7"/>
      <c r="L278" s="7"/>
      <c r="M278" s="7"/>
      <c r="N278" s="7"/>
      <c r="O278" s="7"/>
      <c r="P278" s="7"/>
      <c r="Q278" s="7"/>
    </row>
    <row r="279" customFormat="false" ht="72.35" hidden="false" customHeight="false" outlineLevel="0" collapsed="false">
      <c r="A279" s="118" t="s">
        <v>759</v>
      </c>
      <c r="B279" s="119" t="s">
        <v>760</v>
      </c>
      <c r="C279" s="120" t="s">
        <v>25</v>
      </c>
      <c r="D279" s="121" t="s">
        <v>761</v>
      </c>
      <c r="E279" s="122" t="s">
        <v>13</v>
      </c>
      <c r="F279" s="120" t="s">
        <v>762</v>
      </c>
      <c r="G279" s="126" t="n">
        <f aca="false">12.23*1.5</f>
        <v>18.345</v>
      </c>
      <c r="H279" s="4"/>
      <c r="I279" s="4"/>
      <c r="J279" s="4"/>
      <c r="K279" s="4"/>
      <c r="L279" s="4"/>
      <c r="M279" s="4"/>
      <c r="N279" s="4"/>
      <c r="O279" s="4"/>
      <c r="P279" s="4"/>
      <c r="Q279" s="4"/>
    </row>
    <row r="280" customFormat="false" ht="72.35" hidden="false" customHeight="false" outlineLevel="0" collapsed="false">
      <c r="A280" s="118" t="s">
        <v>763</v>
      </c>
      <c r="B280" s="119" t="s">
        <v>764</v>
      </c>
      <c r="C280" s="120" t="s">
        <v>25</v>
      </c>
      <c r="D280" s="121" t="s">
        <v>765</v>
      </c>
      <c r="E280" s="122" t="s">
        <v>13</v>
      </c>
      <c r="F280" s="120" t="s">
        <v>13</v>
      </c>
      <c r="G280" s="126" t="n">
        <f aca="false">14.1*1.5</f>
        <v>21.15</v>
      </c>
      <c r="H280" s="4"/>
      <c r="I280" s="4"/>
      <c r="J280" s="4"/>
      <c r="K280" s="7"/>
      <c r="L280" s="7"/>
      <c r="M280" s="7"/>
      <c r="N280" s="7"/>
      <c r="O280" s="7"/>
      <c r="P280" s="7"/>
      <c r="Q280" s="7"/>
    </row>
    <row r="281" customFormat="false" ht="29.85" hidden="false" customHeight="false" outlineLevel="0" collapsed="false">
      <c r="A281" s="118" t="s">
        <v>766</v>
      </c>
      <c r="B281" s="119" t="s">
        <v>767</v>
      </c>
      <c r="C281" s="120" t="s">
        <v>10</v>
      </c>
      <c r="D281" s="121" t="s">
        <v>768</v>
      </c>
      <c r="E281" s="122" t="s">
        <v>13</v>
      </c>
      <c r="F281" s="120" t="s">
        <v>13</v>
      </c>
      <c r="G281" s="126" t="n">
        <v>77.45</v>
      </c>
      <c r="H281" s="4"/>
      <c r="I281" s="4"/>
      <c r="J281" s="4"/>
      <c r="K281" s="4"/>
      <c r="L281" s="7"/>
      <c r="M281" s="7"/>
      <c r="N281" s="7"/>
      <c r="O281" s="7"/>
      <c r="P281" s="7"/>
      <c r="Q281" s="7"/>
    </row>
    <row r="282" customFormat="false" ht="44" hidden="false" customHeight="false" outlineLevel="0" collapsed="false">
      <c r="A282" s="118" t="s">
        <v>769</v>
      </c>
      <c r="B282" s="119" t="s">
        <v>770</v>
      </c>
      <c r="C282" s="120" t="s">
        <v>10</v>
      </c>
      <c r="D282" s="121" t="s">
        <v>771</v>
      </c>
      <c r="E282" s="122"/>
      <c r="F282" s="120" t="s">
        <v>13</v>
      </c>
      <c r="G282" s="126" t="n">
        <v>222.39</v>
      </c>
      <c r="H282" s="4"/>
      <c r="I282" s="4"/>
      <c r="J282" s="4"/>
      <c r="K282" s="4"/>
      <c r="L282" s="4"/>
      <c r="M282" s="4"/>
      <c r="N282" s="4"/>
      <c r="O282" s="4"/>
      <c r="P282" s="4"/>
      <c r="Q282" s="4"/>
    </row>
    <row r="283" customFormat="false" ht="29.85" hidden="false" customHeight="false" outlineLevel="0" collapsed="false">
      <c r="A283" s="118" t="s">
        <v>772</v>
      </c>
      <c r="B283" s="119" t="s">
        <v>773</v>
      </c>
      <c r="C283" s="120" t="s">
        <v>10</v>
      </c>
      <c r="D283" s="121" t="s">
        <v>774</v>
      </c>
      <c r="E283" s="122" t="s">
        <v>13</v>
      </c>
      <c r="F283" s="120" t="s">
        <v>13</v>
      </c>
      <c r="G283" s="126" t="n">
        <v>45.18</v>
      </c>
      <c r="H283" s="7"/>
      <c r="I283" s="7"/>
      <c r="J283" s="7"/>
      <c r="K283" s="7"/>
      <c r="L283" s="7"/>
      <c r="M283" s="7"/>
      <c r="N283" s="7"/>
      <c r="O283" s="7"/>
      <c r="P283" s="7"/>
      <c r="Q283" s="7"/>
    </row>
    <row r="284" s="10" customFormat="true" ht="29.85" hidden="false" customHeight="false" outlineLevel="0" collapsed="false">
      <c r="A284" s="118" t="s">
        <v>775</v>
      </c>
      <c r="B284" s="119" t="s">
        <v>776</v>
      </c>
      <c r="C284" s="120" t="s">
        <v>31</v>
      </c>
      <c r="D284" s="121" t="s">
        <v>777</v>
      </c>
      <c r="E284" s="122" t="s">
        <v>13</v>
      </c>
      <c r="F284" s="120" t="s">
        <v>13</v>
      </c>
      <c r="G284" s="126" t="n">
        <v>8</v>
      </c>
      <c r="H284" s="4"/>
      <c r="I284" s="4"/>
      <c r="J284" s="4"/>
      <c r="K284" s="9"/>
      <c r="L284" s="9"/>
      <c r="M284" s="9"/>
      <c r="N284" s="9"/>
      <c r="O284" s="9"/>
      <c r="P284" s="9"/>
      <c r="Q284" s="9"/>
    </row>
    <row r="285" customFormat="false" ht="17.25" hidden="false" customHeight="false" outlineLevel="0" collapsed="false">
      <c r="A285" s="118"/>
      <c r="B285" s="119"/>
      <c r="C285" s="120"/>
      <c r="D285" s="121"/>
      <c r="E285" s="122"/>
      <c r="F285" s="120"/>
      <c r="G285" s="126"/>
      <c r="H285" s="7"/>
      <c r="I285" s="7"/>
      <c r="J285" s="7"/>
      <c r="K285" s="7"/>
      <c r="L285" s="7"/>
      <c r="M285" s="7"/>
      <c r="N285" s="7"/>
      <c r="O285" s="7"/>
      <c r="P285" s="7"/>
      <c r="Q285" s="7"/>
    </row>
    <row r="286" customFormat="false" ht="17.25" hidden="false" customHeight="false" outlineLevel="0" collapsed="false">
      <c r="A286" s="118" t="s">
        <v>778</v>
      </c>
      <c r="B286" s="119" t="s">
        <v>779</v>
      </c>
      <c r="C286" s="120" t="s">
        <v>31</v>
      </c>
      <c r="D286" s="121" t="s">
        <v>780</v>
      </c>
      <c r="E286" s="122" t="s">
        <v>13</v>
      </c>
      <c r="F286" s="120" t="s">
        <v>13</v>
      </c>
      <c r="G286" s="126" t="n">
        <v>8.07</v>
      </c>
      <c r="H286" s="4"/>
      <c r="I286" s="4"/>
      <c r="J286" s="4"/>
      <c r="K286" s="7"/>
      <c r="L286" s="7"/>
      <c r="M286" s="7"/>
      <c r="N286" s="7"/>
      <c r="O286" s="7"/>
      <c r="P286" s="7"/>
      <c r="Q286" s="7"/>
    </row>
    <row r="287" customFormat="false" ht="17.25" hidden="false" customHeight="false" outlineLevel="0" collapsed="false">
      <c r="A287" s="4"/>
      <c r="B287" s="4"/>
      <c r="C287" s="4"/>
      <c r="D287" s="4"/>
      <c r="E287" s="4"/>
      <c r="F287" s="4"/>
      <c r="G287" s="4"/>
      <c r="H287" s="4"/>
      <c r="I287" s="4"/>
      <c r="J287" s="4"/>
      <c r="K287" s="7"/>
      <c r="L287" s="7"/>
      <c r="M287" s="7"/>
      <c r="N287" s="7"/>
      <c r="O287" s="7"/>
      <c r="P287" s="7"/>
      <c r="Q287" s="7"/>
    </row>
    <row r="288" customFormat="false" ht="17.25" hidden="false" customHeight="false" outlineLevel="0" collapsed="false">
      <c r="A288" s="4"/>
      <c r="B288" s="4"/>
      <c r="C288" s="4"/>
      <c r="D288" s="5"/>
      <c r="E288" s="4"/>
      <c r="F288" s="4"/>
      <c r="G288" s="6"/>
      <c r="H288" s="7"/>
      <c r="I288" s="7"/>
      <c r="J288" s="7"/>
      <c r="K288" s="4"/>
      <c r="L288" s="7"/>
      <c r="M288" s="7"/>
      <c r="N288" s="7"/>
      <c r="O288" s="7"/>
      <c r="P288" s="7"/>
      <c r="Q288" s="7"/>
    </row>
    <row r="289" customFormat="false" ht="24.45" hidden="false" customHeight="false" outlineLevel="0" collapsed="false">
      <c r="A289" s="4"/>
      <c r="B289" s="4"/>
      <c r="C289" s="4"/>
      <c r="D289" s="5"/>
      <c r="E289" s="4"/>
      <c r="F289" s="4"/>
      <c r="G289" s="6"/>
      <c r="H289" s="9"/>
      <c r="I289" s="9"/>
      <c r="J289" s="9"/>
      <c r="K289" s="4"/>
      <c r="L289" s="7"/>
      <c r="M289" s="7"/>
      <c r="N289" s="7"/>
      <c r="O289" s="7"/>
      <c r="P289" s="7"/>
      <c r="Q289" s="7"/>
    </row>
    <row r="290" customFormat="false" ht="24.45" hidden="false" customHeight="false" outlineLevel="0" collapsed="false">
      <c r="A290" s="204" t="s">
        <v>781</v>
      </c>
      <c r="B290" s="204"/>
      <c r="C290" s="204"/>
      <c r="D290" s="204"/>
      <c r="E290" s="204"/>
      <c r="F290" s="204"/>
      <c r="G290" s="204"/>
      <c r="H290" s="7"/>
      <c r="I290" s="7"/>
      <c r="J290" s="7"/>
      <c r="K290" s="4"/>
      <c r="L290" s="7"/>
      <c r="M290" s="7"/>
      <c r="N290" s="7"/>
      <c r="O290" s="7"/>
      <c r="P290" s="7"/>
      <c r="Q290" s="7"/>
    </row>
    <row r="291" customFormat="false" ht="17.25" hidden="false" customHeight="false" outlineLevel="0" collapsed="false">
      <c r="A291" s="4"/>
      <c r="B291" s="4"/>
      <c r="C291" s="4"/>
      <c r="D291" s="5"/>
      <c r="E291" s="4"/>
      <c r="F291" s="4"/>
      <c r="G291" s="6"/>
      <c r="H291" s="7"/>
      <c r="I291" s="7"/>
      <c r="J291" s="7"/>
      <c r="K291" s="4"/>
      <c r="L291" s="7"/>
      <c r="M291" s="7"/>
      <c r="N291" s="7"/>
      <c r="O291" s="7"/>
      <c r="P291" s="7"/>
      <c r="Q291" s="7"/>
    </row>
    <row r="292" customFormat="false" ht="17.25" hidden="false" customHeight="false" outlineLevel="0" collapsed="false">
      <c r="A292" s="205" t="s">
        <v>782</v>
      </c>
      <c r="B292" s="206" t="s">
        <v>783</v>
      </c>
      <c r="C292" s="206"/>
      <c r="D292" s="207"/>
      <c r="E292" s="4"/>
      <c r="F292" s="4"/>
      <c r="G292" s="6"/>
      <c r="H292" s="7"/>
      <c r="I292" s="7"/>
      <c r="J292" s="7"/>
      <c r="K292" s="4"/>
      <c r="L292" s="7"/>
      <c r="M292" s="7"/>
      <c r="N292" s="7"/>
      <c r="O292" s="7"/>
      <c r="P292" s="7"/>
      <c r="Q292" s="7"/>
    </row>
    <row r="293" customFormat="false" ht="17.25" hidden="false" customHeight="false" outlineLevel="0" collapsed="false">
      <c r="A293" s="95" t="s">
        <v>784</v>
      </c>
      <c r="B293" s="208" t="s">
        <v>785</v>
      </c>
      <c r="C293" s="208"/>
      <c r="D293" s="209"/>
      <c r="E293" s="78"/>
      <c r="F293" s="78"/>
      <c r="G293" s="78"/>
      <c r="H293" s="4"/>
      <c r="I293" s="4"/>
      <c r="J293" s="4"/>
      <c r="K293" s="4"/>
      <c r="L293" s="7"/>
      <c r="M293" s="7"/>
      <c r="N293" s="7"/>
      <c r="O293" s="7"/>
      <c r="P293" s="7"/>
      <c r="Q293" s="7"/>
    </row>
    <row r="294" customFormat="false" ht="17.25" hidden="false" customHeight="false" outlineLevel="0" collapsed="false">
      <c r="A294" s="210" t="s">
        <v>786</v>
      </c>
      <c r="B294" s="211" t="s">
        <v>787</v>
      </c>
      <c r="C294" s="212"/>
      <c r="D294" s="213"/>
      <c r="E294" s="4"/>
      <c r="F294" s="4"/>
      <c r="G294" s="6"/>
      <c r="H294" s="4"/>
      <c r="I294" s="4"/>
      <c r="J294" s="4"/>
      <c r="K294" s="4"/>
      <c r="L294" s="7"/>
      <c r="M294" s="7"/>
      <c r="N294" s="7"/>
      <c r="O294" s="7"/>
      <c r="P294" s="7"/>
      <c r="Q294" s="7"/>
    </row>
    <row r="295" customFormat="false" ht="17.25" hidden="false" customHeight="false" outlineLevel="0" collapsed="false">
      <c r="A295" s="214"/>
      <c r="B295" s="215" t="s">
        <v>788</v>
      </c>
      <c r="C295" s="216"/>
      <c r="D295" s="217"/>
      <c r="E295" s="4"/>
      <c r="F295" s="4"/>
      <c r="G295" s="6"/>
      <c r="H295" s="4"/>
      <c r="I295" s="4"/>
      <c r="J295" s="4"/>
      <c r="K295" s="4"/>
      <c r="L295" s="7"/>
      <c r="M295" s="7"/>
      <c r="N295" s="7"/>
      <c r="O295" s="7"/>
      <c r="P295" s="7"/>
      <c r="Q295" s="7"/>
    </row>
    <row r="296" customFormat="false" ht="17.25" hidden="false" customHeight="false" outlineLevel="0" collapsed="false">
      <c r="A296" s="218"/>
      <c r="B296" s="219" t="s">
        <v>789</v>
      </c>
      <c r="C296" s="220"/>
      <c r="D296" s="221"/>
      <c r="E296" s="4"/>
      <c r="F296" s="4"/>
      <c r="G296" s="6"/>
      <c r="H296" s="4"/>
      <c r="I296" s="4"/>
      <c r="J296" s="4"/>
      <c r="K296" s="4"/>
      <c r="L296" s="7"/>
      <c r="M296" s="7"/>
      <c r="N296" s="7"/>
      <c r="O296" s="7"/>
      <c r="P296" s="7"/>
      <c r="Q296" s="7"/>
    </row>
    <row r="297" customFormat="false" ht="17.25" hidden="false" customHeight="false" outlineLevel="0" collapsed="false">
      <c r="A297" s="218" t="s">
        <v>790</v>
      </c>
      <c r="B297" s="219" t="s">
        <v>791</v>
      </c>
      <c r="C297" s="219"/>
      <c r="D297" s="221"/>
      <c r="E297" s="4"/>
      <c r="F297" s="4"/>
      <c r="G297" s="6"/>
      <c r="H297" s="4"/>
      <c r="I297" s="4"/>
      <c r="J297" s="4"/>
      <c r="K297" s="4"/>
      <c r="L297" s="7"/>
      <c r="M297" s="7"/>
      <c r="N297" s="7"/>
      <c r="O297" s="7"/>
      <c r="P297" s="7"/>
      <c r="Q297" s="7"/>
    </row>
    <row r="298" customFormat="false" ht="17.25" hidden="false" customHeight="false" outlineLevel="0" collapsed="false">
      <c r="A298" s="218" t="s">
        <v>792</v>
      </c>
      <c r="B298" s="219" t="s">
        <v>793</v>
      </c>
      <c r="C298" s="219"/>
      <c r="D298" s="221"/>
      <c r="E298" s="4"/>
      <c r="F298" s="4"/>
      <c r="G298" s="6"/>
      <c r="H298" s="4"/>
      <c r="I298" s="4"/>
      <c r="J298" s="4"/>
      <c r="K298" s="4"/>
      <c r="L298" s="4"/>
      <c r="M298" s="4"/>
      <c r="N298" s="4"/>
      <c r="O298" s="4"/>
      <c r="P298" s="4"/>
      <c r="Q298" s="4"/>
    </row>
    <row r="299" customFormat="false" ht="17.25" hidden="false" customHeight="false" outlineLevel="0" collapsed="false">
      <c r="A299" s="222" t="s">
        <v>794</v>
      </c>
      <c r="B299" s="223" t="s">
        <v>795</v>
      </c>
      <c r="C299" s="223"/>
      <c r="D299" s="224"/>
      <c r="E299" s="4"/>
      <c r="F299" s="4"/>
      <c r="G299" s="6"/>
      <c r="H299" s="4"/>
      <c r="I299" s="4"/>
      <c r="J299" s="4"/>
      <c r="K299" s="4"/>
      <c r="L299" s="4"/>
      <c r="M299" s="4"/>
      <c r="N299" s="4"/>
      <c r="O299" s="4"/>
      <c r="P299" s="4"/>
      <c r="Q299" s="4"/>
    </row>
    <row r="300" customFormat="false" ht="17.25" hidden="false" customHeight="false" outlineLevel="0" collapsed="false">
      <c r="A300" s="225" t="s">
        <v>796</v>
      </c>
      <c r="B300" s="226" t="s">
        <v>797</v>
      </c>
      <c r="C300" s="226"/>
      <c r="D300" s="227"/>
      <c r="E300" s="4"/>
      <c r="F300" s="4"/>
      <c r="G300" s="6"/>
      <c r="H300" s="4"/>
      <c r="I300" s="4"/>
      <c r="J300" s="4"/>
      <c r="K300" s="4"/>
      <c r="L300" s="4"/>
      <c r="M300" s="4"/>
      <c r="N300" s="4"/>
      <c r="O300" s="4"/>
      <c r="P300" s="4"/>
      <c r="Q300" s="4"/>
    </row>
    <row r="301" customFormat="false" ht="17.25" hidden="false" customHeight="false" outlineLevel="0" collapsed="false">
      <c r="A301" s="222" t="s">
        <v>798</v>
      </c>
      <c r="B301" s="223" t="s">
        <v>799</v>
      </c>
      <c r="C301" s="223"/>
      <c r="D301" s="224"/>
      <c r="E301" s="4"/>
      <c r="F301" s="4"/>
      <c r="G301" s="6"/>
      <c r="H301" s="4"/>
      <c r="I301" s="4"/>
      <c r="J301" s="4"/>
      <c r="K301" s="4"/>
      <c r="L301" s="4"/>
      <c r="M301" s="4"/>
      <c r="N301" s="4"/>
      <c r="O301" s="4"/>
      <c r="P301" s="4"/>
      <c r="Q301" s="4"/>
    </row>
    <row r="302" customFormat="false" ht="17.25" hidden="false" customHeight="false" outlineLevel="0" collapsed="false">
      <c r="A302" s="225"/>
      <c r="B302" s="226" t="s">
        <v>800</v>
      </c>
      <c r="C302" s="226"/>
      <c r="D302" s="227"/>
      <c r="E302" s="4"/>
      <c r="F302" s="4"/>
      <c r="G302" s="6"/>
      <c r="H302" s="4"/>
      <c r="I302" s="4"/>
      <c r="J302" s="4"/>
      <c r="K302" s="4"/>
      <c r="L302" s="4"/>
      <c r="M302" s="4"/>
      <c r="N302" s="4"/>
      <c r="O302" s="4"/>
      <c r="P302" s="4"/>
      <c r="Q302" s="4"/>
    </row>
    <row r="303" customFormat="false" ht="17.25" hidden="false" customHeight="false" outlineLevel="0" collapsed="false">
      <c r="A303" s="4"/>
      <c r="B303" s="4"/>
      <c r="C303" s="4"/>
      <c r="D303" s="5"/>
      <c r="E303" s="4"/>
      <c r="F303" s="4"/>
      <c r="G303" s="6"/>
      <c r="H303" s="4"/>
      <c r="I303" s="4"/>
      <c r="J303" s="4"/>
      <c r="K303" s="4"/>
      <c r="L303" s="4"/>
      <c r="M303" s="4"/>
      <c r="N303" s="4"/>
      <c r="O303" s="4"/>
      <c r="P303" s="4"/>
      <c r="Q303" s="4"/>
    </row>
    <row r="304" customFormat="false" ht="17.25" hidden="false" customHeight="false" outlineLevel="0" collapsed="false">
      <c r="A304" s="5" t="s">
        <v>801</v>
      </c>
      <c r="B304" s="4"/>
      <c r="C304" s="4"/>
      <c r="D304" s="5"/>
      <c r="E304" s="4"/>
      <c r="F304" s="4"/>
      <c r="G304" s="6"/>
      <c r="H304" s="4"/>
      <c r="I304" s="4"/>
      <c r="J304" s="4"/>
      <c r="K304" s="4"/>
      <c r="L304" s="4"/>
      <c r="M304" s="4"/>
      <c r="N304" s="4"/>
      <c r="O304" s="4"/>
      <c r="P304" s="4"/>
      <c r="Q304" s="4"/>
    </row>
    <row r="305" customFormat="false" ht="17.25" hidden="false" customHeight="false" outlineLevel="0" collapsed="false">
      <c r="A305" s="4"/>
      <c r="B305" s="4"/>
      <c r="C305" s="4"/>
      <c r="D305" s="5"/>
      <c r="E305" s="4"/>
      <c r="F305" s="4"/>
      <c r="G305" s="6"/>
      <c r="H305" s="4"/>
      <c r="I305" s="4"/>
      <c r="J305" s="4"/>
      <c r="K305" s="56"/>
      <c r="L305" s="42" t="s">
        <v>130</v>
      </c>
      <c r="M305" s="4"/>
      <c r="N305" s="4"/>
      <c r="O305" s="4"/>
      <c r="P305" s="4"/>
      <c r="Q305" s="4"/>
    </row>
    <row r="306" customFormat="false" ht="85.8" hidden="false" customHeight="false" outlineLevel="0" collapsed="false">
      <c r="A306" s="228" t="s">
        <v>802</v>
      </c>
      <c r="B306" s="4"/>
      <c r="C306" s="4"/>
      <c r="D306" s="5"/>
      <c r="E306" s="4"/>
      <c r="F306" s="4"/>
      <c r="G306" s="6"/>
      <c r="H306" s="4"/>
      <c r="I306" s="4"/>
      <c r="J306" s="4"/>
      <c r="K306" s="4"/>
      <c r="L306" s="4"/>
      <c r="M306" s="4"/>
      <c r="N306" s="4"/>
      <c r="O306" s="4"/>
      <c r="P306" s="4"/>
      <c r="Q306" s="4"/>
    </row>
    <row r="307" customFormat="false" ht="17.25" hidden="false" customHeight="false" outlineLevel="0" collapsed="false">
      <c r="A307" s="4"/>
      <c r="B307" s="4"/>
      <c r="C307" s="4"/>
      <c r="D307" s="5"/>
      <c r="E307" s="4"/>
      <c r="F307" s="4"/>
      <c r="G307" s="6"/>
      <c r="H307" s="4"/>
      <c r="I307" s="4"/>
      <c r="J307" s="4"/>
      <c r="K307" s="4"/>
      <c r="L307" s="4"/>
      <c r="M307" s="4"/>
      <c r="N307" s="4"/>
      <c r="O307" s="4"/>
      <c r="P307" s="4"/>
      <c r="Q307" s="4"/>
    </row>
    <row r="308" customFormat="false" ht="17.25" hidden="false" customHeight="false" outlineLevel="0" collapsed="false">
      <c r="A308" s="4"/>
      <c r="B308" s="4"/>
      <c r="C308" s="4"/>
      <c r="D308" s="5"/>
      <c r="E308" s="4"/>
      <c r="F308" s="4"/>
      <c r="G308" s="229"/>
      <c r="H308" s="4"/>
      <c r="I308" s="4"/>
      <c r="J308" s="4"/>
      <c r="K308" s="4"/>
      <c r="L308" s="4"/>
      <c r="M308" s="4"/>
      <c r="N308" s="4"/>
      <c r="O308" s="4"/>
      <c r="P308" s="4"/>
      <c r="Q308" s="4"/>
    </row>
    <row r="309" customFormat="false" ht="17.25" hidden="false" customHeight="false" outlineLevel="0" collapsed="false">
      <c r="A309" s="4"/>
      <c r="B309" s="4"/>
      <c r="C309" s="4"/>
      <c r="D309" s="5"/>
      <c r="E309" s="4"/>
      <c r="F309" s="4"/>
      <c r="G309" s="230"/>
      <c r="H309" s="4"/>
      <c r="I309" s="4"/>
      <c r="J309" s="4"/>
      <c r="K309" s="4"/>
      <c r="L309" s="4"/>
      <c r="M309" s="4"/>
      <c r="N309" s="4"/>
      <c r="O309" s="4"/>
      <c r="P309" s="4"/>
      <c r="Q309" s="4"/>
    </row>
    <row r="310" s="232" customFormat="true" ht="17.25" hidden="false" customHeight="false" outlineLevel="0" collapsed="false">
      <c r="A310" s="4"/>
      <c r="B310" s="4"/>
      <c r="C310" s="4"/>
      <c r="D310" s="5"/>
      <c r="E310" s="4"/>
      <c r="F310" s="4"/>
      <c r="G310" s="6"/>
      <c r="H310" s="4"/>
      <c r="I310" s="42" t="s">
        <v>636</v>
      </c>
      <c r="J310" s="42" t="s">
        <v>90</v>
      </c>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231"/>
      <c r="BM310" s="231"/>
      <c r="BN310" s="231"/>
      <c r="BO310" s="231"/>
      <c r="BP310" s="231"/>
      <c r="BQ310" s="231"/>
      <c r="BR310" s="231"/>
      <c r="BS310" s="231"/>
      <c r="BT310" s="231"/>
      <c r="BU310" s="231"/>
      <c r="BV310" s="231"/>
      <c r="BW310" s="231"/>
      <c r="BX310" s="231"/>
      <c r="BY310" s="231"/>
      <c r="BZ310" s="231"/>
      <c r="CA310" s="231"/>
      <c r="CB310" s="231"/>
      <c r="CC310" s="231"/>
      <c r="CD310" s="231"/>
      <c r="CE310" s="231"/>
      <c r="CF310" s="231"/>
      <c r="CG310" s="231"/>
      <c r="CH310" s="231"/>
      <c r="CI310" s="231"/>
      <c r="CJ310" s="231"/>
      <c r="CK310" s="231"/>
      <c r="CL310" s="231"/>
      <c r="CM310" s="231"/>
      <c r="CN310" s="231"/>
      <c r="CO310" s="231"/>
      <c r="CP310" s="231"/>
      <c r="CQ310" s="231"/>
      <c r="CR310" s="231"/>
      <c r="CS310" s="231"/>
      <c r="CT310" s="231"/>
      <c r="CU310" s="231"/>
      <c r="CV310" s="231"/>
      <c r="CW310" s="231"/>
      <c r="CX310" s="231"/>
      <c r="CY310" s="231"/>
      <c r="CZ310" s="231"/>
      <c r="DA310" s="231"/>
      <c r="DB310" s="231"/>
      <c r="DC310" s="231"/>
      <c r="DD310" s="231"/>
      <c r="DE310" s="231"/>
      <c r="DF310" s="231"/>
      <c r="DG310" s="231"/>
      <c r="DH310" s="231"/>
      <c r="DI310" s="231"/>
      <c r="DJ310" s="231"/>
      <c r="DK310" s="231"/>
      <c r="DL310" s="231"/>
      <c r="DM310" s="231"/>
      <c r="DN310" s="231"/>
      <c r="DO310" s="231"/>
      <c r="DP310" s="231"/>
      <c r="DQ310" s="231"/>
      <c r="DR310" s="231"/>
      <c r="DS310" s="231"/>
      <c r="DT310" s="231"/>
      <c r="DU310" s="231"/>
      <c r="DV310" s="231"/>
      <c r="DW310" s="231"/>
      <c r="DX310" s="231"/>
      <c r="DY310" s="231"/>
      <c r="DZ310" s="231"/>
      <c r="EA310" s="231"/>
      <c r="EB310" s="231"/>
      <c r="EC310" s="231"/>
      <c r="ED310" s="231"/>
      <c r="EE310" s="231"/>
      <c r="EF310" s="231"/>
      <c r="EG310" s="231"/>
      <c r="EH310" s="231"/>
      <c r="EI310" s="231"/>
      <c r="EJ310" s="231"/>
      <c r="EK310" s="231"/>
      <c r="EL310" s="231"/>
      <c r="EM310" s="231"/>
      <c r="EN310" s="231"/>
      <c r="EO310" s="231"/>
      <c r="EP310" s="231"/>
      <c r="EQ310" s="231"/>
      <c r="ER310" s="231"/>
      <c r="ES310" s="231"/>
      <c r="ET310" s="231"/>
      <c r="EU310" s="231"/>
      <c r="EV310" s="231"/>
      <c r="EW310" s="231"/>
      <c r="EX310" s="231"/>
      <c r="EY310" s="231"/>
      <c r="EZ310" s="231"/>
      <c r="FA310" s="231"/>
      <c r="FB310" s="231"/>
      <c r="FC310" s="231"/>
      <c r="FD310" s="231"/>
      <c r="FE310" s="231"/>
      <c r="FF310" s="231"/>
      <c r="FG310" s="231"/>
      <c r="FH310" s="231"/>
      <c r="FI310" s="231"/>
      <c r="FJ310" s="231"/>
      <c r="FK310" s="231"/>
      <c r="FL310" s="231"/>
      <c r="FM310" s="231"/>
      <c r="FN310" s="231"/>
      <c r="FO310" s="231"/>
      <c r="FP310" s="231"/>
      <c r="FQ310" s="231"/>
      <c r="FR310" s="231"/>
      <c r="FS310" s="231"/>
      <c r="FT310" s="231"/>
      <c r="FU310" s="231"/>
      <c r="FV310" s="231"/>
      <c r="FW310" s="231"/>
      <c r="FX310" s="231"/>
      <c r="FY310" s="231"/>
      <c r="FZ310" s="231"/>
      <c r="GA310" s="231"/>
      <c r="GB310" s="231"/>
      <c r="GC310" s="231"/>
      <c r="GD310" s="231"/>
      <c r="GE310" s="231"/>
      <c r="GF310" s="231"/>
      <c r="GG310" s="231"/>
      <c r="GH310" s="231"/>
      <c r="GI310" s="231"/>
      <c r="GJ310" s="231"/>
      <c r="GK310" s="231"/>
      <c r="GL310" s="231"/>
      <c r="GM310" s="231"/>
      <c r="GN310" s="231"/>
      <c r="GO310" s="231"/>
      <c r="GP310" s="231"/>
      <c r="GQ310" s="231"/>
      <c r="GR310" s="231"/>
      <c r="GS310" s="231"/>
      <c r="GT310" s="231"/>
      <c r="GU310" s="231"/>
      <c r="GV310" s="231"/>
      <c r="GW310" s="231"/>
      <c r="GX310" s="231"/>
      <c r="GY310" s="231"/>
      <c r="GZ310" s="231"/>
      <c r="HA310" s="231"/>
      <c r="HB310" s="231"/>
      <c r="HC310" s="231"/>
      <c r="HD310" s="231"/>
      <c r="HE310" s="231"/>
      <c r="HF310" s="231"/>
      <c r="HG310" s="231"/>
      <c r="HH310" s="231"/>
      <c r="HI310" s="231"/>
      <c r="HJ310" s="231"/>
      <c r="HK310" s="231"/>
      <c r="HL310" s="231"/>
      <c r="HM310" s="231"/>
      <c r="HN310" s="231"/>
      <c r="HO310" s="231"/>
      <c r="HP310" s="231"/>
      <c r="HQ310" s="231"/>
      <c r="HR310" s="231"/>
      <c r="HS310" s="231"/>
      <c r="HT310" s="231"/>
      <c r="HU310" s="231"/>
      <c r="HV310" s="231"/>
      <c r="HW310" s="231"/>
      <c r="HX310" s="231"/>
      <c r="HY310" s="231"/>
      <c r="HZ310" s="231"/>
      <c r="IA310" s="231"/>
      <c r="IB310" s="231"/>
      <c r="IC310" s="231"/>
      <c r="ID310" s="231"/>
      <c r="IE310" s="231"/>
      <c r="IF310" s="231"/>
      <c r="IG310" s="231"/>
      <c r="IH310" s="231"/>
      <c r="II310" s="231"/>
      <c r="IJ310" s="231"/>
      <c r="IK310" s="231"/>
      <c r="IL310" s="231"/>
      <c r="IM310" s="231"/>
      <c r="IN310" s="231"/>
      <c r="IO310" s="231"/>
      <c r="IP310" s="231"/>
      <c r="IQ310" s="231"/>
      <c r="IR310" s="231"/>
      <c r="IS310" s="231"/>
      <c r="IT310" s="231"/>
      <c r="IU310" s="231"/>
      <c r="IV310" s="231"/>
      <c r="IW310" s="231"/>
      <c r="IX310" s="231"/>
      <c r="IY310" s="231"/>
      <c r="IZ310" s="231"/>
      <c r="JA310" s="231"/>
      <c r="JB310" s="231"/>
      <c r="JC310" s="231"/>
      <c r="JD310" s="231"/>
      <c r="JE310" s="231"/>
      <c r="JF310" s="231"/>
      <c r="JG310" s="231"/>
      <c r="JH310" s="231"/>
      <c r="JI310" s="231"/>
      <c r="JJ310" s="231"/>
      <c r="JK310" s="231"/>
      <c r="JL310" s="231"/>
      <c r="JM310" s="231"/>
      <c r="JN310" s="231"/>
      <c r="JO310" s="231"/>
      <c r="JP310" s="231"/>
      <c r="JQ310" s="231"/>
      <c r="JR310" s="231"/>
      <c r="JS310" s="231"/>
      <c r="JT310" s="231"/>
      <c r="JU310" s="231"/>
      <c r="JV310" s="231"/>
      <c r="JW310" s="231"/>
      <c r="JX310" s="231"/>
      <c r="JY310" s="231"/>
      <c r="JZ310" s="231"/>
      <c r="KA310" s="231"/>
      <c r="KB310" s="231"/>
      <c r="KC310" s="231"/>
      <c r="KD310" s="231"/>
      <c r="KE310" s="231"/>
      <c r="KF310" s="231"/>
      <c r="KG310" s="231"/>
      <c r="KH310" s="231"/>
      <c r="KI310" s="231"/>
      <c r="KJ310" s="231"/>
      <c r="KK310" s="231"/>
      <c r="KL310" s="231"/>
      <c r="KM310" s="231"/>
      <c r="KN310" s="231"/>
      <c r="KO310" s="231"/>
      <c r="KP310" s="231"/>
      <c r="KQ310" s="231"/>
      <c r="KR310" s="231"/>
      <c r="KS310" s="231"/>
      <c r="KT310" s="231"/>
      <c r="KU310" s="231"/>
      <c r="KV310" s="231"/>
      <c r="KW310" s="231"/>
      <c r="KX310" s="231"/>
      <c r="KY310" s="231"/>
      <c r="KZ310" s="231"/>
      <c r="LA310" s="231"/>
      <c r="LB310" s="231"/>
      <c r="LC310" s="231"/>
      <c r="LD310" s="231"/>
      <c r="LE310" s="231"/>
      <c r="LF310" s="231"/>
      <c r="LG310" s="231"/>
      <c r="LH310" s="231"/>
      <c r="LI310" s="231"/>
      <c r="LJ310" s="231"/>
      <c r="LK310" s="231"/>
      <c r="LL310" s="231"/>
      <c r="LM310" s="231"/>
      <c r="LN310" s="231"/>
      <c r="LO310" s="231"/>
      <c r="LP310" s="231"/>
      <c r="LQ310" s="231"/>
      <c r="LR310" s="231"/>
      <c r="LS310" s="231"/>
      <c r="LT310" s="231"/>
      <c r="LU310" s="231"/>
      <c r="LV310" s="231"/>
      <c r="LW310" s="231"/>
      <c r="LX310" s="231"/>
      <c r="LY310" s="231"/>
      <c r="LZ310" s="231"/>
      <c r="MA310" s="231"/>
      <c r="MB310" s="231"/>
      <c r="MC310" s="231"/>
      <c r="MD310" s="231"/>
      <c r="ME310" s="231"/>
      <c r="MF310" s="231"/>
      <c r="MG310" s="231"/>
      <c r="MH310" s="231"/>
      <c r="MI310" s="231"/>
      <c r="MJ310" s="231"/>
      <c r="MK310" s="231"/>
      <c r="ML310" s="231"/>
      <c r="MM310" s="231"/>
      <c r="MN310" s="231"/>
      <c r="MO310" s="231"/>
      <c r="MP310" s="231"/>
      <c r="MQ310" s="231"/>
      <c r="MR310" s="231"/>
      <c r="MS310" s="231"/>
      <c r="MT310" s="231"/>
      <c r="MU310" s="231"/>
      <c r="MV310" s="231"/>
      <c r="MW310" s="231"/>
      <c r="MX310" s="231"/>
      <c r="MY310" s="231"/>
      <c r="MZ310" s="231"/>
      <c r="NA310" s="231"/>
      <c r="NB310" s="231"/>
      <c r="NC310" s="231"/>
      <c r="ND310" s="231"/>
      <c r="NE310" s="231"/>
      <c r="NF310" s="231"/>
      <c r="NG310" s="231"/>
      <c r="NH310" s="231"/>
      <c r="NI310" s="231"/>
      <c r="NJ310" s="231"/>
      <c r="NK310" s="231"/>
      <c r="NL310" s="231"/>
      <c r="NM310" s="231"/>
      <c r="NN310" s="231"/>
      <c r="NO310" s="231"/>
      <c r="NP310" s="231"/>
      <c r="NQ310" s="231"/>
      <c r="NR310" s="231"/>
      <c r="NS310" s="231"/>
      <c r="NT310" s="231"/>
      <c r="NU310" s="231"/>
      <c r="NV310" s="231"/>
      <c r="NW310" s="231"/>
      <c r="NX310" s="231"/>
      <c r="NY310" s="231"/>
      <c r="NZ310" s="231"/>
      <c r="OA310" s="231"/>
      <c r="OB310" s="231"/>
      <c r="OC310" s="231"/>
      <c r="OD310" s="231"/>
      <c r="OE310" s="231"/>
      <c r="OF310" s="231"/>
      <c r="OG310" s="231"/>
      <c r="OH310" s="231"/>
      <c r="OI310" s="231"/>
      <c r="OJ310" s="231"/>
      <c r="OK310" s="231"/>
      <c r="OL310" s="231"/>
      <c r="OM310" s="231"/>
      <c r="ON310" s="231"/>
      <c r="OO310" s="231"/>
      <c r="OP310" s="231"/>
      <c r="OQ310" s="231"/>
      <c r="OR310" s="231"/>
      <c r="OS310" s="231"/>
      <c r="OT310" s="231"/>
      <c r="OU310" s="231"/>
      <c r="OV310" s="231"/>
      <c r="OW310" s="231"/>
      <c r="OX310" s="231"/>
      <c r="OY310" s="231"/>
      <c r="OZ310" s="231"/>
      <c r="PA310" s="231"/>
      <c r="PB310" s="231"/>
      <c r="PC310" s="231"/>
      <c r="PD310" s="231"/>
      <c r="PE310" s="231"/>
      <c r="PF310" s="231"/>
      <c r="PG310" s="231"/>
      <c r="PH310" s="231"/>
      <c r="PI310" s="231"/>
      <c r="PJ310" s="231"/>
      <c r="PK310" s="231"/>
      <c r="PL310" s="231"/>
      <c r="PM310" s="231"/>
      <c r="PN310" s="231"/>
      <c r="PO310" s="231"/>
      <c r="PP310" s="231"/>
      <c r="PQ310" s="231"/>
      <c r="PR310" s="231"/>
      <c r="PS310" s="231"/>
      <c r="PT310" s="231"/>
      <c r="PU310" s="231"/>
      <c r="PV310" s="231"/>
      <c r="PW310" s="231"/>
      <c r="PX310" s="231"/>
      <c r="PY310" s="231"/>
      <c r="PZ310" s="231"/>
      <c r="QA310" s="231"/>
      <c r="QB310" s="231"/>
      <c r="QC310" s="231"/>
      <c r="QD310" s="231"/>
      <c r="QE310" s="231"/>
      <c r="QF310" s="231"/>
      <c r="QG310" s="231"/>
      <c r="QH310" s="231"/>
      <c r="QI310" s="231"/>
      <c r="QJ310" s="231"/>
      <c r="QK310" s="231"/>
      <c r="QL310" s="231"/>
      <c r="QM310" s="231"/>
      <c r="QN310" s="231"/>
      <c r="QO310" s="231"/>
      <c r="QP310" s="231"/>
      <c r="QQ310" s="231"/>
      <c r="QR310" s="231"/>
      <c r="QS310" s="231"/>
      <c r="QT310" s="231"/>
      <c r="QU310" s="231"/>
      <c r="QV310" s="231"/>
      <c r="QW310" s="231"/>
      <c r="QX310" s="231"/>
      <c r="QY310" s="231"/>
      <c r="QZ310" s="231"/>
      <c r="RA310" s="231"/>
      <c r="RB310" s="231"/>
      <c r="RC310" s="231"/>
      <c r="RD310" s="231"/>
      <c r="RE310" s="231"/>
      <c r="RF310" s="231"/>
      <c r="RG310" s="231"/>
      <c r="RH310" s="231"/>
      <c r="RI310" s="231"/>
      <c r="RJ310" s="231"/>
      <c r="RK310" s="231"/>
      <c r="RL310" s="231"/>
      <c r="RM310" s="231"/>
      <c r="RN310" s="231"/>
      <c r="RO310" s="231"/>
      <c r="RP310" s="231"/>
      <c r="RQ310" s="231"/>
      <c r="RR310" s="231"/>
      <c r="RS310" s="231"/>
      <c r="RT310" s="231"/>
      <c r="RU310" s="231"/>
      <c r="RV310" s="231"/>
      <c r="RW310" s="231"/>
      <c r="RX310" s="231"/>
      <c r="RY310" s="231"/>
      <c r="RZ310" s="231"/>
      <c r="SA310" s="231"/>
      <c r="SB310" s="231"/>
      <c r="SC310" s="231"/>
      <c r="SD310" s="231"/>
      <c r="SE310" s="231"/>
      <c r="SF310" s="231"/>
      <c r="SG310" s="231"/>
      <c r="SH310" s="231"/>
      <c r="SI310" s="231"/>
      <c r="SJ310" s="231"/>
      <c r="SK310" s="231"/>
      <c r="SL310" s="231"/>
      <c r="SM310" s="231"/>
      <c r="SN310" s="231"/>
      <c r="SO310" s="231"/>
      <c r="SP310" s="231"/>
      <c r="SQ310" s="231"/>
      <c r="SR310" s="231"/>
      <c r="SS310" s="231"/>
      <c r="ST310" s="231"/>
      <c r="SU310" s="231"/>
      <c r="SV310" s="231"/>
      <c r="SW310" s="231"/>
      <c r="SX310" s="231"/>
      <c r="SY310" s="231"/>
      <c r="SZ310" s="231"/>
      <c r="TA310" s="231"/>
      <c r="TB310" s="231"/>
      <c r="TC310" s="231"/>
      <c r="TD310" s="231"/>
      <c r="TE310" s="231"/>
      <c r="TF310" s="231"/>
      <c r="TG310" s="231"/>
      <c r="TH310" s="231"/>
      <c r="TI310" s="231"/>
      <c r="TJ310" s="231"/>
      <c r="TK310" s="231"/>
      <c r="TL310" s="231"/>
      <c r="TM310" s="231"/>
      <c r="TN310" s="231"/>
      <c r="TO310" s="231"/>
      <c r="TP310" s="231"/>
      <c r="TQ310" s="231"/>
      <c r="TR310" s="231"/>
      <c r="TS310" s="231"/>
      <c r="TT310" s="231"/>
      <c r="TU310" s="231"/>
      <c r="TV310" s="231"/>
      <c r="TW310" s="231"/>
      <c r="TX310" s="231"/>
      <c r="TY310" s="231"/>
      <c r="TZ310" s="231"/>
      <c r="UA310" s="231"/>
      <c r="UB310" s="231"/>
      <c r="UC310" s="231"/>
      <c r="UD310" s="231"/>
      <c r="UE310" s="231"/>
      <c r="UF310" s="231"/>
      <c r="UG310" s="231"/>
      <c r="UH310" s="231"/>
      <c r="UI310" s="231"/>
      <c r="UJ310" s="231"/>
      <c r="UK310" s="231"/>
      <c r="UL310" s="231"/>
      <c r="UM310" s="231"/>
      <c r="UN310" s="231"/>
      <c r="UO310" s="231"/>
      <c r="UP310" s="231"/>
      <c r="UQ310" s="231"/>
      <c r="UR310" s="231"/>
      <c r="US310" s="231"/>
      <c r="UT310" s="231"/>
      <c r="UU310" s="231"/>
      <c r="UV310" s="231"/>
      <c r="UW310" s="231"/>
      <c r="UX310" s="231"/>
      <c r="UY310" s="231"/>
      <c r="UZ310" s="231"/>
      <c r="VA310" s="231"/>
      <c r="VB310" s="231"/>
      <c r="VC310" s="231"/>
      <c r="VD310" s="231"/>
      <c r="VE310" s="231"/>
      <c r="VF310" s="231"/>
      <c r="VG310" s="231"/>
      <c r="VH310" s="231"/>
      <c r="VI310" s="231"/>
      <c r="VJ310" s="231"/>
      <c r="VK310" s="231"/>
      <c r="VL310" s="231"/>
      <c r="VM310" s="231"/>
      <c r="VN310" s="231"/>
      <c r="VO310" s="231"/>
      <c r="VP310" s="231"/>
      <c r="VQ310" s="231"/>
      <c r="VR310" s="231"/>
      <c r="VS310" s="231"/>
      <c r="VT310" s="231"/>
      <c r="VU310" s="231"/>
      <c r="VV310" s="231"/>
      <c r="VW310" s="231"/>
      <c r="VX310" s="231"/>
      <c r="VY310" s="231"/>
      <c r="VZ310" s="231"/>
      <c r="WA310" s="231"/>
      <c r="WB310" s="231"/>
      <c r="WC310" s="231"/>
      <c r="WD310" s="231"/>
      <c r="WE310" s="231"/>
      <c r="WF310" s="231"/>
      <c r="WG310" s="231"/>
      <c r="WH310" s="231"/>
      <c r="WI310" s="231"/>
      <c r="WJ310" s="231"/>
      <c r="WK310" s="231"/>
      <c r="WL310" s="231"/>
      <c r="WM310" s="231"/>
      <c r="WN310" s="231"/>
      <c r="WO310" s="231"/>
      <c r="WP310" s="231"/>
      <c r="WQ310" s="231"/>
      <c r="WR310" s="231"/>
      <c r="WS310" s="231"/>
      <c r="WT310" s="231"/>
      <c r="WU310" s="231"/>
      <c r="WV310" s="231"/>
      <c r="WW310" s="231"/>
      <c r="WX310" s="231"/>
      <c r="WY310" s="231"/>
      <c r="WZ310" s="231"/>
      <c r="XA310" s="231"/>
      <c r="XB310" s="231"/>
      <c r="XC310" s="231"/>
      <c r="XD310" s="231"/>
      <c r="XE310" s="231"/>
      <c r="XF310" s="231"/>
      <c r="XG310" s="231"/>
      <c r="XH310" s="231"/>
      <c r="XI310" s="231"/>
      <c r="XJ310" s="231"/>
      <c r="XK310" s="231"/>
      <c r="XL310" s="231"/>
      <c r="XM310" s="231"/>
      <c r="XN310" s="231"/>
      <c r="XO310" s="231"/>
      <c r="XP310" s="231"/>
      <c r="XQ310" s="231"/>
      <c r="XR310" s="231"/>
      <c r="XS310" s="231"/>
      <c r="XT310" s="231"/>
      <c r="XU310" s="231"/>
      <c r="XV310" s="231"/>
      <c r="XW310" s="231"/>
      <c r="XX310" s="231"/>
      <c r="XY310" s="231"/>
      <c r="XZ310" s="231"/>
      <c r="YA310" s="231"/>
      <c r="YB310" s="231"/>
      <c r="YC310" s="231"/>
      <c r="YD310" s="231"/>
      <c r="YE310" s="231"/>
      <c r="YF310" s="231"/>
      <c r="YG310" s="231"/>
      <c r="YH310" s="231"/>
      <c r="YI310" s="231"/>
      <c r="YJ310" s="231"/>
      <c r="YK310" s="231"/>
      <c r="YL310" s="231"/>
      <c r="YM310" s="231"/>
      <c r="YN310" s="231"/>
      <c r="YO310" s="231"/>
      <c r="YP310" s="231"/>
      <c r="YQ310" s="231"/>
      <c r="YR310" s="231"/>
      <c r="YS310" s="231"/>
      <c r="YT310" s="231"/>
      <c r="YU310" s="231"/>
      <c r="YV310" s="231"/>
      <c r="YW310" s="231"/>
      <c r="YX310" s="231"/>
      <c r="YY310" s="231"/>
      <c r="YZ310" s="231"/>
      <c r="ZA310" s="231"/>
      <c r="ZB310" s="231"/>
      <c r="ZC310" s="231"/>
      <c r="ZD310" s="231"/>
      <c r="ZE310" s="231"/>
      <c r="ZF310" s="231"/>
      <c r="ZG310" s="231"/>
      <c r="ZH310" s="231"/>
      <c r="ZI310" s="231"/>
      <c r="ZJ310" s="231"/>
      <c r="ZK310" s="231"/>
      <c r="ZL310" s="231"/>
      <c r="ZM310" s="231"/>
      <c r="ZN310" s="231"/>
      <c r="ZO310" s="231"/>
      <c r="ZP310" s="231"/>
      <c r="ZQ310" s="231"/>
      <c r="ZR310" s="231"/>
      <c r="ZS310" s="231"/>
      <c r="ZT310" s="231"/>
      <c r="ZU310" s="231"/>
      <c r="ZV310" s="231"/>
      <c r="ZW310" s="231"/>
      <c r="ZX310" s="231"/>
      <c r="ZY310" s="231"/>
      <c r="ZZ310" s="231"/>
      <c r="AAA310" s="231"/>
      <c r="AAB310" s="231"/>
      <c r="AAC310" s="231"/>
      <c r="AAD310" s="231"/>
      <c r="AAE310" s="231"/>
      <c r="AAF310" s="231"/>
      <c r="AAG310" s="231"/>
      <c r="AAH310" s="231"/>
      <c r="AAI310" s="231"/>
      <c r="AAJ310" s="231"/>
      <c r="AAK310" s="231"/>
      <c r="AAL310" s="231"/>
      <c r="AAM310" s="231"/>
      <c r="AAN310" s="231"/>
      <c r="AAO310" s="231"/>
      <c r="AAP310" s="231"/>
      <c r="AAQ310" s="231"/>
      <c r="AAR310" s="231"/>
      <c r="AAS310" s="231"/>
      <c r="AAT310" s="231"/>
      <c r="AAU310" s="231"/>
      <c r="AAV310" s="231"/>
      <c r="AAW310" s="231"/>
      <c r="AAX310" s="231"/>
      <c r="AAY310" s="231"/>
      <c r="AAZ310" s="231"/>
      <c r="ABA310" s="231"/>
      <c r="ABB310" s="231"/>
      <c r="ABC310" s="231"/>
      <c r="ABD310" s="231"/>
      <c r="ABE310" s="231"/>
      <c r="ABF310" s="231"/>
      <c r="ABG310" s="231"/>
      <c r="ABH310" s="231"/>
      <c r="ABI310" s="231"/>
      <c r="ABJ310" s="231"/>
      <c r="ABK310" s="231"/>
      <c r="ABL310" s="231"/>
      <c r="ABM310" s="231"/>
      <c r="ABN310" s="231"/>
      <c r="ABO310" s="231"/>
      <c r="ABP310" s="231"/>
      <c r="ABQ310" s="231"/>
      <c r="ABR310" s="231"/>
      <c r="ABS310" s="231"/>
      <c r="ABT310" s="231"/>
      <c r="ABU310" s="231"/>
      <c r="ABV310" s="231"/>
      <c r="ABW310" s="231"/>
      <c r="ABX310" s="231"/>
      <c r="ABY310" s="231"/>
      <c r="ABZ310" s="231"/>
      <c r="ACA310" s="231"/>
      <c r="ACB310" s="231"/>
      <c r="ACC310" s="231"/>
      <c r="ACD310" s="231"/>
      <c r="ACE310" s="231"/>
      <c r="ACF310" s="231"/>
      <c r="ACG310" s="231"/>
      <c r="ACH310" s="231"/>
      <c r="ACI310" s="231"/>
      <c r="ACJ310" s="231"/>
      <c r="ACK310" s="231"/>
      <c r="ACL310" s="231"/>
      <c r="ACM310" s="231"/>
      <c r="ACN310" s="231"/>
      <c r="ACO310" s="231"/>
      <c r="ACP310" s="231"/>
      <c r="ACQ310" s="231"/>
      <c r="ACR310" s="231"/>
      <c r="ACS310" s="231"/>
      <c r="ACT310" s="231"/>
      <c r="ACU310" s="231"/>
      <c r="ACV310" s="231"/>
      <c r="ACW310" s="231"/>
      <c r="ACX310" s="231"/>
      <c r="ACY310" s="231"/>
      <c r="ACZ310" s="231"/>
      <c r="ADA310" s="231"/>
      <c r="ADB310" s="231"/>
      <c r="ADC310" s="231"/>
      <c r="ADD310" s="231"/>
      <c r="ADE310" s="231"/>
      <c r="ADF310" s="231"/>
      <c r="ADG310" s="231"/>
      <c r="ADH310" s="231"/>
      <c r="ADI310" s="231"/>
      <c r="ADJ310" s="231"/>
      <c r="ADK310" s="231"/>
      <c r="ADL310" s="231"/>
      <c r="ADM310" s="231"/>
      <c r="ADN310" s="231"/>
      <c r="ADO310" s="231"/>
      <c r="ADP310" s="231"/>
      <c r="ADQ310" s="231"/>
      <c r="ADR310" s="231"/>
      <c r="ADS310" s="231"/>
      <c r="ADT310" s="231"/>
      <c r="ADU310" s="231"/>
      <c r="ADV310" s="231"/>
      <c r="ADW310" s="231"/>
      <c r="ADX310" s="231"/>
      <c r="ADY310" s="231"/>
      <c r="ADZ310" s="231"/>
      <c r="AEA310" s="231"/>
      <c r="AEB310" s="231"/>
      <c r="AEC310" s="231"/>
      <c r="AED310" s="231"/>
      <c r="AEE310" s="231"/>
      <c r="AEF310" s="231"/>
      <c r="AEG310" s="231"/>
      <c r="AEH310" s="231"/>
      <c r="AEI310" s="231"/>
      <c r="AEJ310" s="231"/>
      <c r="AEK310" s="231"/>
      <c r="AEL310" s="231"/>
      <c r="AEM310" s="231"/>
      <c r="AEN310" s="231"/>
      <c r="AEO310" s="231"/>
      <c r="AEP310" s="231"/>
      <c r="AEQ310" s="231"/>
      <c r="AER310" s="231"/>
      <c r="AES310" s="231"/>
      <c r="AET310" s="231"/>
      <c r="AEU310" s="231"/>
      <c r="AEV310" s="231"/>
      <c r="AEW310" s="231"/>
      <c r="AEX310" s="231"/>
      <c r="AEY310" s="231"/>
      <c r="AEZ310" s="231"/>
      <c r="AFA310" s="231"/>
      <c r="AFB310" s="231"/>
      <c r="AFC310" s="231"/>
      <c r="AFD310" s="231"/>
      <c r="AFE310" s="231"/>
      <c r="AFF310" s="231"/>
      <c r="AFG310" s="231"/>
      <c r="AFH310" s="231"/>
      <c r="AFI310" s="231"/>
      <c r="AFJ310" s="231"/>
      <c r="AFK310" s="231"/>
      <c r="AFL310" s="231"/>
      <c r="AFM310" s="231"/>
      <c r="AFN310" s="231"/>
      <c r="AFO310" s="231"/>
      <c r="AFP310" s="231"/>
      <c r="AFQ310" s="231"/>
      <c r="AFR310" s="231"/>
      <c r="AFS310" s="231"/>
      <c r="AFT310" s="231"/>
      <c r="AFU310" s="231"/>
      <c r="AFV310" s="231"/>
      <c r="AFW310" s="231"/>
      <c r="AFX310" s="231"/>
      <c r="AFY310" s="231"/>
      <c r="AFZ310" s="231"/>
      <c r="AGA310" s="231"/>
      <c r="AGB310" s="231"/>
      <c r="AGC310" s="231"/>
      <c r="AGD310" s="231"/>
      <c r="AGE310" s="231"/>
      <c r="AGF310" s="231"/>
      <c r="AGG310" s="231"/>
      <c r="AGH310" s="231"/>
      <c r="AGI310" s="231"/>
      <c r="AGJ310" s="231"/>
      <c r="AGK310" s="231"/>
      <c r="AGL310" s="231"/>
      <c r="AGM310" s="231"/>
      <c r="AGN310" s="231"/>
      <c r="AGO310" s="231"/>
      <c r="AGP310" s="231"/>
      <c r="AGQ310" s="231"/>
      <c r="AGR310" s="231"/>
      <c r="AGS310" s="231"/>
      <c r="AGT310" s="231"/>
      <c r="AGU310" s="231"/>
      <c r="AGV310" s="231"/>
      <c r="AGW310" s="231"/>
      <c r="AGX310" s="231"/>
      <c r="AGY310" s="231"/>
      <c r="AGZ310" s="231"/>
      <c r="AHA310" s="231"/>
      <c r="AHB310" s="231"/>
      <c r="AHC310" s="231"/>
      <c r="AHD310" s="231"/>
      <c r="AHE310" s="231"/>
      <c r="AHF310" s="231"/>
      <c r="AHG310" s="231"/>
      <c r="AHH310" s="231"/>
      <c r="AHI310" s="231"/>
      <c r="AHJ310" s="231"/>
      <c r="AHK310" s="231"/>
      <c r="AHL310" s="231"/>
      <c r="AHM310" s="231"/>
      <c r="AHN310" s="231"/>
      <c r="AHO310" s="231"/>
      <c r="AHP310" s="231"/>
      <c r="AHQ310" s="231"/>
      <c r="AHR310" s="231"/>
      <c r="AHS310" s="231"/>
      <c r="AHT310" s="231"/>
      <c r="AHU310" s="231"/>
      <c r="AHV310" s="231"/>
      <c r="AHW310" s="231"/>
      <c r="AHX310" s="231"/>
      <c r="AHY310" s="231"/>
      <c r="AHZ310" s="231"/>
      <c r="AIA310" s="231"/>
      <c r="AIB310" s="231"/>
      <c r="AIC310" s="231"/>
      <c r="AID310" s="231"/>
      <c r="AIE310" s="231"/>
      <c r="AIF310" s="231"/>
      <c r="AIG310" s="231"/>
      <c r="AIH310" s="231"/>
      <c r="AII310" s="231"/>
      <c r="AIJ310" s="231"/>
      <c r="AIK310" s="231"/>
      <c r="AIL310" s="231"/>
      <c r="AIM310" s="231"/>
      <c r="AIN310" s="231"/>
      <c r="AIO310" s="231"/>
      <c r="AIP310" s="231"/>
      <c r="AIQ310" s="231"/>
      <c r="AIR310" s="231"/>
      <c r="AIS310" s="231"/>
      <c r="AIT310" s="231"/>
      <c r="AIU310" s="231"/>
      <c r="AIV310" s="231"/>
      <c r="AIW310" s="231"/>
      <c r="AIX310" s="231"/>
      <c r="AIY310" s="231"/>
      <c r="AIZ310" s="231"/>
      <c r="AJA310" s="231"/>
      <c r="AJB310" s="231"/>
      <c r="AJC310" s="231"/>
      <c r="AJD310" s="231"/>
      <c r="AJE310" s="231"/>
      <c r="AJF310" s="231"/>
      <c r="AJG310" s="231"/>
      <c r="AJH310" s="231"/>
      <c r="AJI310" s="231"/>
      <c r="AJJ310" s="231"/>
      <c r="AJK310" s="231"/>
      <c r="AJL310" s="231"/>
      <c r="AJM310" s="231"/>
      <c r="AJN310" s="231"/>
      <c r="AJO310" s="231"/>
      <c r="AJP310" s="231"/>
      <c r="AJQ310" s="231"/>
      <c r="AJR310" s="231"/>
      <c r="AJS310" s="231"/>
      <c r="AJT310" s="231"/>
      <c r="AJU310" s="231"/>
      <c r="AJV310" s="231"/>
      <c r="AJW310" s="231"/>
      <c r="AJX310" s="231"/>
      <c r="AJY310" s="231"/>
      <c r="AJZ310" s="231"/>
      <c r="AKA310" s="231"/>
      <c r="AKB310" s="231"/>
      <c r="AKC310" s="231"/>
      <c r="AKD310" s="231"/>
      <c r="AKE310" s="231"/>
      <c r="AKF310" s="231"/>
      <c r="AKG310" s="231"/>
      <c r="AKH310" s="231"/>
      <c r="AKI310" s="231"/>
      <c r="AKJ310" s="231"/>
      <c r="AKK310" s="231"/>
      <c r="AKL310" s="231"/>
      <c r="AKM310" s="231"/>
      <c r="AKN310" s="231"/>
      <c r="AKO310" s="231"/>
      <c r="AKP310" s="231"/>
      <c r="AKQ310" s="231"/>
      <c r="AKR310" s="231"/>
      <c r="AKS310" s="231"/>
      <c r="AKT310" s="231"/>
      <c r="AKU310" s="231"/>
      <c r="AKV310" s="231"/>
      <c r="AKW310" s="231"/>
      <c r="AKX310" s="231"/>
      <c r="AKY310" s="231"/>
      <c r="AKZ310" s="231"/>
      <c r="ALA310" s="231"/>
      <c r="ALB310" s="231"/>
      <c r="ALC310" s="231"/>
      <c r="ALD310" s="231"/>
      <c r="ALE310" s="231"/>
      <c r="ALF310" s="231"/>
      <c r="ALG310" s="231"/>
      <c r="ALH310" s="231"/>
      <c r="ALI310" s="231"/>
      <c r="ALJ310" s="231"/>
      <c r="ALK310" s="231"/>
      <c r="ALL310" s="231"/>
      <c r="ALM310" s="231"/>
      <c r="ALN310" s="231"/>
      <c r="ALO310" s="231"/>
      <c r="ALP310" s="231"/>
      <c r="ALQ310" s="231"/>
      <c r="ALR310" s="231"/>
      <c r="ALS310" s="231"/>
      <c r="ALT310" s="231"/>
      <c r="ALU310" s="231"/>
      <c r="ALV310" s="231"/>
      <c r="ALW310" s="231"/>
      <c r="ALX310" s="231"/>
      <c r="ALY310" s="231"/>
      <c r="ALZ310" s="231"/>
      <c r="AMA310" s="231"/>
      <c r="AMB310" s="231"/>
      <c r="AMC310" s="231"/>
      <c r="AMD310" s="231"/>
      <c r="AME310" s="231"/>
      <c r="AMF310" s="231"/>
      <c r="AMG310" s="231"/>
      <c r="AMH310" s="231"/>
      <c r="AMI310" s="231"/>
      <c r="AMJ310" s="231"/>
    </row>
    <row r="311" customFormat="false" ht="17.25" hidden="false" customHeight="false" outlineLevel="0" collapsed="false">
      <c r="A311" s="4"/>
      <c r="B311" s="4"/>
      <c r="C311" s="4"/>
      <c r="D311" s="5"/>
      <c r="E311" s="4"/>
      <c r="F311" s="4"/>
      <c r="G311" s="6"/>
      <c r="H311" s="4"/>
      <c r="I311" s="4"/>
      <c r="J311" s="4"/>
    </row>
    <row r="312" customFormat="false" ht="17.25" hidden="false" customHeight="false" outlineLevel="0" collapsed="false">
      <c r="A312" s="4"/>
      <c r="B312" s="4"/>
      <c r="C312" s="4"/>
      <c r="D312" s="5"/>
      <c r="E312" s="4"/>
      <c r="F312" s="4"/>
      <c r="G312" s="6"/>
      <c r="H312" s="4"/>
      <c r="I312" s="4"/>
      <c r="J312" s="4"/>
    </row>
    <row r="313" customFormat="false" ht="17.25" hidden="false" customHeight="false" outlineLevel="0" collapsed="false">
      <c r="A313" s="4"/>
      <c r="B313" s="4"/>
      <c r="C313" s="4"/>
      <c r="D313" s="5"/>
      <c r="E313" s="4"/>
      <c r="F313" s="4"/>
      <c r="G313" s="6"/>
      <c r="H313" s="4"/>
      <c r="I313" s="4"/>
      <c r="J313" s="4"/>
    </row>
    <row r="314" customFormat="false" ht="17.25" hidden="false" customHeight="false" outlineLevel="0" collapsed="false">
      <c r="A314" s="4"/>
      <c r="B314" s="4"/>
      <c r="C314" s="4"/>
      <c r="D314" s="5"/>
      <c r="E314" s="4"/>
      <c r="F314" s="4"/>
      <c r="G314" s="6"/>
      <c r="H314" s="4"/>
      <c r="I314" s="4"/>
      <c r="J314" s="4"/>
    </row>
    <row r="319" customFormat="false" ht="17.25" hidden="false" customHeight="false" outlineLevel="0" collapsed="false">
      <c r="A319" s="1" t="s">
        <v>803</v>
      </c>
    </row>
    <row r="320" customFormat="false" ht="17.25" hidden="false" customHeight="false" outlineLevel="0" collapsed="false">
      <c r="A320" s="1" t="s">
        <v>804</v>
      </c>
    </row>
    <row r="321" customFormat="false" ht="17.25" hidden="false" customHeight="false" outlineLevel="0" collapsed="false">
      <c r="A321" s="1" t="s">
        <v>805</v>
      </c>
    </row>
    <row r="322" customFormat="false" ht="17.25" hidden="false" customHeight="false" outlineLevel="0" collapsed="false">
      <c r="A322" s="1" t="s">
        <v>806</v>
      </c>
    </row>
    <row r="324" customFormat="false" ht="17.25" hidden="false" customHeight="false" outlineLevel="0" collapsed="false">
      <c r="A324" s="1" t="s">
        <v>807</v>
      </c>
    </row>
    <row r="326" customFormat="false" ht="17.25" hidden="false" customHeight="false" outlineLevel="0" collapsed="false">
      <c r="A326" s="1" t="s">
        <v>808</v>
      </c>
    </row>
    <row r="328" customFormat="false" ht="17.25" hidden="false" customHeight="false" outlineLevel="0" collapsed="false">
      <c r="A328" s="1" t="s">
        <v>809</v>
      </c>
    </row>
    <row r="330" customFormat="false" ht="17.25" hidden="false" customHeight="false" outlineLevel="0" collapsed="false">
      <c r="A330" s="1" t="s">
        <v>810</v>
      </c>
    </row>
    <row r="331" customFormat="false" ht="17.25" hidden="false" customHeight="false" outlineLevel="0" collapsed="false">
      <c r="A331" s="1" t="s">
        <v>811</v>
      </c>
    </row>
    <row r="333" customFormat="false" ht="17.25" hidden="false" customHeight="false" outlineLevel="0" collapsed="false">
      <c r="A333" s="1" t="s">
        <v>812</v>
      </c>
    </row>
  </sheetData>
  <mergeCells count="25">
    <mergeCell ref="A2:G2"/>
    <mergeCell ref="A10:G10"/>
    <mergeCell ref="A22:G22"/>
    <mergeCell ref="A26:G26"/>
    <mergeCell ref="A45:G45"/>
    <mergeCell ref="A53:G53"/>
    <mergeCell ref="A58:G58"/>
    <mergeCell ref="A66:G66"/>
    <mergeCell ref="A73:G73"/>
    <mergeCell ref="A95:G95"/>
    <mergeCell ref="A118:G118"/>
    <mergeCell ref="A120:G120"/>
    <mergeCell ref="A146:G146"/>
    <mergeCell ref="A166:G166"/>
    <mergeCell ref="A172:G172"/>
    <mergeCell ref="A178:G178"/>
    <mergeCell ref="A186:G186"/>
    <mergeCell ref="A199:G199"/>
    <mergeCell ref="A204:G204"/>
    <mergeCell ref="A209:G209"/>
    <mergeCell ref="A221:G221"/>
    <mergeCell ref="A245:G245"/>
    <mergeCell ref="A253:G253"/>
    <mergeCell ref="A271:G271"/>
    <mergeCell ref="A290:G290"/>
  </mergeCells>
  <printOptions headings="false" gridLines="false" gridLinesSet="true" horizontalCentered="false" verticalCentered="false"/>
  <pageMargins left="0.7" right="0.7" top="0.75" bottom="0.75" header="0.511811023622047" footer="0.511811023622047"/>
  <pageSetup paperSize="8" scale="100" fitToWidth="1" fitToHeight="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57"/>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C13" activeCellId="0" sqref="C13"/>
    </sheetView>
  </sheetViews>
  <sheetFormatPr defaultColWidth="11.42578125" defaultRowHeight="15" customHeight="true" zeroHeight="false" outlineLevelRow="0" outlineLevelCol="0"/>
  <cols>
    <col collapsed="false" customWidth="true" hidden="false" outlineLevel="0" max="7" min="1" style="0" width="12.57"/>
    <col collapsed="false" customWidth="true" hidden="false" outlineLevel="0" max="9" min="9" style="0" width="28.57"/>
  </cols>
  <sheetData>
    <row r="1" s="235" customFormat="true" ht="13.5" hidden="false" customHeight="true" outlineLevel="0" collapsed="false">
      <c r="A1" s="233"/>
      <c r="B1" s="234"/>
      <c r="C1" s="233"/>
      <c r="D1" s="233"/>
      <c r="E1" s="233"/>
      <c r="F1" s="233"/>
      <c r="G1" s="233"/>
    </row>
    <row r="2" s="235" customFormat="true" ht="13.5" hidden="false" customHeight="true" outlineLevel="0" collapsed="false">
      <c r="A2" s="233"/>
      <c r="B2" s="233"/>
      <c r="C2" s="233"/>
      <c r="D2" s="233"/>
      <c r="E2" s="233"/>
      <c r="F2" s="233"/>
      <c r="G2" s="233"/>
    </row>
    <row r="3" s="235" customFormat="true" ht="13.5" hidden="false" customHeight="true" outlineLevel="0" collapsed="false">
      <c r="A3" s="233"/>
      <c r="B3" s="233"/>
      <c r="C3" s="233"/>
      <c r="D3" s="233"/>
      <c r="E3" s="233"/>
      <c r="F3" s="233"/>
      <c r="G3" s="233"/>
    </row>
    <row r="4" s="235" customFormat="true" ht="13.5" hidden="false" customHeight="true" outlineLevel="0" collapsed="false">
      <c r="A4" s="233"/>
      <c r="B4" s="233"/>
      <c r="C4" s="233"/>
      <c r="D4" s="233"/>
      <c r="E4" s="233"/>
      <c r="F4" s="233"/>
      <c r="G4" s="233"/>
    </row>
    <row r="5" s="235" customFormat="true" ht="13.5" hidden="false" customHeight="true" outlineLevel="0" collapsed="false">
      <c r="A5" s="233"/>
      <c r="B5" s="233"/>
      <c r="C5" s="233"/>
      <c r="D5" s="233"/>
      <c r="E5" s="233"/>
      <c r="F5" s="233"/>
      <c r="G5" s="233"/>
    </row>
    <row r="6" s="235" customFormat="true" ht="13.5" hidden="false" customHeight="true" outlineLevel="0" collapsed="false">
      <c r="A6" s="233"/>
      <c r="B6" s="233"/>
      <c r="C6" s="233"/>
      <c r="D6" s="233"/>
      <c r="E6" s="233"/>
      <c r="F6" s="233"/>
      <c r="G6" s="233"/>
    </row>
    <row r="7" s="235" customFormat="true" ht="13.5" hidden="false" customHeight="true" outlineLevel="0" collapsed="false">
      <c r="A7" s="236"/>
      <c r="B7" s="233"/>
      <c r="C7" s="233"/>
      <c r="D7" s="233"/>
      <c r="E7" s="233"/>
      <c r="F7" s="233"/>
      <c r="G7" s="233"/>
    </row>
    <row r="8" s="235" customFormat="true" ht="13.5" hidden="false" customHeight="true" outlineLevel="0" collapsed="false">
      <c r="A8" s="237"/>
      <c r="B8" s="233"/>
      <c r="C8" s="233"/>
      <c r="D8" s="233"/>
      <c r="E8" s="233"/>
      <c r="F8" s="233"/>
      <c r="G8" s="233"/>
    </row>
    <row r="9" s="235" customFormat="true" ht="13.5" hidden="false" customHeight="true" outlineLevel="0" collapsed="false">
      <c r="A9" s="238"/>
      <c r="B9" s="233"/>
      <c r="C9" s="233"/>
      <c r="D9" s="233"/>
      <c r="E9" s="233"/>
      <c r="F9" s="233"/>
      <c r="G9" s="233"/>
    </row>
    <row r="10" s="235" customFormat="true" ht="13.5" hidden="false" customHeight="true" outlineLevel="0" collapsed="false">
      <c r="A10" s="238"/>
      <c r="B10" s="233"/>
      <c r="C10" s="233"/>
      <c r="D10" s="233"/>
      <c r="E10" s="239" t="str">
        <f aca="false">CONCATENATE(I10,TEXT(I11,"d mmmm aaaa"))</f>
        <v>Barcelona, 13 maig dimecres</v>
      </c>
      <c r="F10" s="233"/>
      <c r="G10" s="233"/>
      <c r="H10" s="240" t="s">
        <v>813</v>
      </c>
      <c r="I10" s="240" t="s">
        <v>814</v>
      </c>
    </row>
    <row r="11" s="235" customFormat="true" ht="13.5" hidden="false" customHeight="true" outlineLevel="0" collapsed="false">
      <c r="A11" s="238"/>
      <c r="B11" s="233"/>
      <c r="C11" s="233"/>
      <c r="D11" s="233"/>
      <c r="E11" s="241"/>
      <c r="F11" s="233"/>
      <c r="G11" s="233"/>
      <c r="H11" s="240" t="s">
        <v>815</v>
      </c>
      <c r="I11" s="242" t="n">
        <f aca="true">TODAY()</f>
        <v>46155</v>
      </c>
    </row>
    <row r="12" s="235" customFormat="true" ht="13.5" hidden="false" customHeight="true" outlineLevel="0" collapsed="false">
      <c r="A12" s="238"/>
      <c r="B12" s="243"/>
      <c r="C12" s="233"/>
      <c r="D12" s="233"/>
      <c r="E12" s="244" t="s">
        <v>816</v>
      </c>
      <c r="F12" s="233"/>
      <c r="G12" s="233"/>
    </row>
    <row r="13" s="235" customFormat="true" ht="21" hidden="false" customHeight="true" outlineLevel="0" collapsed="false">
      <c r="A13" s="238"/>
      <c r="B13" s="233"/>
      <c r="C13" s="233"/>
      <c r="D13" s="233"/>
      <c r="E13" s="245" t="s">
        <v>817</v>
      </c>
      <c r="F13" s="245"/>
      <c r="G13" s="245"/>
    </row>
    <row r="14" s="235" customFormat="true" ht="13.5" hidden="false" customHeight="true" outlineLevel="0" collapsed="false">
      <c r="A14" s="238"/>
      <c r="B14" s="233"/>
      <c r="C14" s="233"/>
      <c r="D14" s="233"/>
      <c r="E14" s="246" t="s">
        <v>818</v>
      </c>
      <c r="F14" s="233"/>
      <c r="G14" s="233"/>
    </row>
    <row r="15" s="235" customFormat="true" ht="13.5" hidden="false" customHeight="true" outlineLevel="0" collapsed="false">
      <c r="A15" s="238"/>
      <c r="B15" s="233"/>
      <c r="C15" s="233"/>
      <c r="D15" s="233"/>
      <c r="E15" s="241"/>
      <c r="F15" s="233"/>
      <c r="G15" s="233"/>
    </row>
    <row r="16" s="235" customFormat="true" ht="13.5" hidden="false" customHeight="true" outlineLevel="0" collapsed="false">
      <c r="A16" s="238"/>
      <c r="B16" s="233"/>
      <c r="C16" s="233"/>
      <c r="D16" s="233"/>
      <c r="E16" s="241"/>
      <c r="F16" s="233"/>
      <c r="G16" s="233"/>
    </row>
    <row r="17" s="235" customFormat="true" ht="13.5" hidden="false" customHeight="true" outlineLevel="0" collapsed="false">
      <c r="A17" s="247" t="s">
        <v>816</v>
      </c>
      <c r="B17" s="247"/>
      <c r="C17" s="247"/>
      <c r="D17" s="247"/>
      <c r="E17" s="247"/>
      <c r="F17" s="247"/>
      <c r="G17" s="247"/>
    </row>
    <row r="18" s="235" customFormat="true" ht="15" hidden="false" customHeight="false" outlineLevel="0" collapsed="false">
      <c r="A18" s="248" t="s">
        <v>819</v>
      </c>
      <c r="B18" s="248"/>
      <c r="C18" s="248"/>
      <c r="D18" s="248"/>
      <c r="E18" s="248"/>
      <c r="F18" s="248"/>
      <c r="G18" s="248"/>
    </row>
    <row r="19" s="235" customFormat="true" ht="15" hidden="false" customHeight="false" outlineLevel="0" collapsed="false">
      <c r="A19" s="249"/>
      <c r="B19" s="249"/>
      <c r="C19" s="249"/>
      <c r="D19" s="250"/>
      <c r="E19" s="250"/>
      <c r="F19" s="249"/>
      <c r="G19" s="251"/>
    </row>
    <row r="20" s="235" customFormat="true" ht="15" hidden="false" customHeight="false" outlineLevel="0" collapsed="false">
      <c r="A20" s="252" t="s">
        <v>820</v>
      </c>
      <c r="B20" s="253"/>
      <c r="C20" s="249"/>
      <c r="D20" s="250"/>
      <c r="E20" s="250"/>
      <c r="F20" s="249"/>
      <c r="G20" s="249"/>
    </row>
    <row r="21" s="235" customFormat="true" ht="3.75" hidden="false" customHeight="true" outlineLevel="0" collapsed="false">
      <c r="A21" s="254"/>
      <c r="B21" s="254"/>
      <c r="C21" s="254"/>
      <c r="D21" s="254"/>
      <c r="E21" s="254"/>
      <c r="F21" s="254"/>
      <c r="G21" s="254"/>
    </row>
    <row r="22" s="235" customFormat="true" ht="15" hidden="false" customHeight="false" outlineLevel="0" collapsed="false">
      <c r="A22" s="255" t="s">
        <v>821</v>
      </c>
      <c r="B22" s="256"/>
      <c r="C22" s="257"/>
      <c r="D22" s="258"/>
      <c r="E22" s="258"/>
      <c r="F22" s="255"/>
      <c r="G22" s="258"/>
    </row>
    <row r="23" s="235" customFormat="true" ht="15" hidden="false" customHeight="false" outlineLevel="0" collapsed="false">
      <c r="A23" s="259" t="s">
        <v>822</v>
      </c>
      <c r="B23" s="260" t="s">
        <v>823</v>
      </c>
      <c r="C23" s="260"/>
      <c r="D23" s="261"/>
      <c r="E23" s="262" t="s">
        <v>824</v>
      </c>
      <c r="F23" s="262" t="s">
        <v>823</v>
      </c>
      <c r="G23" s="263"/>
    </row>
    <row r="24" s="235" customFormat="true" ht="15" hidden="false" customHeight="false" outlineLevel="0" collapsed="false">
      <c r="A24" s="259" t="s">
        <v>825</v>
      </c>
      <c r="B24" s="264" t="s">
        <v>823</v>
      </c>
      <c r="C24" s="265"/>
      <c r="D24" s="266"/>
      <c r="E24" s="259"/>
      <c r="F24" s="267"/>
      <c r="G24" s="267"/>
    </row>
    <row r="25" s="235" customFormat="true" ht="15" hidden="false" customHeight="false" outlineLevel="0" collapsed="false">
      <c r="A25" s="259" t="s">
        <v>826</v>
      </c>
      <c r="B25" s="268" t="s">
        <v>823</v>
      </c>
      <c r="C25" s="265"/>
      <c r="D25" s="266"/>
      <c r="E25" s="259" t="s">
        <v>827</v>
      </c>
      <c r="F25" s="259" t="s">
        <v>823</v>
      </c>
      <c r="G25" s="267"/>
    </row>
    <row r="26" s="235" customFormat="true" ht="3.75" hidden="false" customHeight="true" outlineLevel="0" collapsed="false">
      <c r="A26" s="262"/>
      <c r="B26" s="264"/>
      <c r="C26" s="260"/>
      <c r="D26" s="261"/>
      <c r="E26" s="262"/>
      <c r="F26" s="262"/>
      <c r="G26" s="263"/>
    </row>
    <row r="27" s="235" customFormat="true" ht="15" hidden="false" customHeight="false" outlineLevel="0" collapsed="false">
      <c r="A27" s="262" t="s">
        <v>828</v>
      </c>
      <c r="B27" s="269" t="s">
        <v>823</v>
      </c>
      <c r="C27" s="260"/>
      <c r="D27" s="261"/>
      <c r="E27" s="262" t="s">
        <v>824</v>
      </c>
      <c r="F27" s="262" t="s">
        <v>823</v>
      </c>
      <c r="G27" s="263"/>
    </row>
    <row r="28" s="235" customFormat="true" ht="15" hidden="false" customHeight="false" outlineLevel="0" collapsed="false">
      <c r="A28" s="249"/>
      <c r="B28" s="270"/>
      <c r="C28" s="271"/>
      <c r="D28" s="272"/>
      <c r="E28" s="272"/>
      <c r="F28" s="249"/>
      <c r="G28" s="253"/>
    </row>
    <row r="29" s="235" customFormat="true" ht="15" hidden="false" customHeight="false" outlineLevel="0" collapsed="false">
      <c r="A29" s="252" t="s">
        <v>829</v>
      </c>
      <c r="B29" s="270"/>
      <c r="C29" s="249"/>
      <c r="D29" s="250"/>
      <c r="E29" s="250"/>
      <c r="F29" s="249"/>
      <c r="G29" s="249"/>
    </row>
    <row r="30" s="235" customFormat="true" ht="3.75" hidden="false" customHeight="true" outlineLevel="0" collapsed="false">
      <c r="A30" s="254"/>
      <c r="B30" s="254"/>
      <c r="C30" s="254"/>
      <c r="D30" s="254"/>
      <c r="E30" s="254"/>
      <c r="F30" s="254"/>
      <c r="G30" s="254"/>
    </row>
    <row r="31" s="235" customFormat="true" ht="15" hidden="false" customHeight="false" outlineLevel="0" collapsed="false">
      <c r="A31" s="255" t="s">
        <v>821</v>
      </c>
      <c r="B31" s="273" t="s">
        <v>823</v>
      </c>
      <c r="C31" s="257"/>
      <c r="D31" s="258"/>
      <c r="E31" s="258"/>
      <c r="F31" s="255"/>
      <c r="G31" s="258"/>
    </row>
    <row r="32" s="235" customFormat="true" ht="15" hidden="false" customHeight="false" outlineLevel="0" collapsed="false">
      <c r="A32" s="259" t="s">
        <v>825</v>
      </c>
      <c r="B32" s="274" t="s">
        <v>823</v>
      </c>
      <c r="C32" s="274"/>
      <c r="D32" s="274"/>
      <c r="E32" s="267"/>
      <c r="F32" s="267"/>
      <c r="G32" s="267"/>
    </row>
    <row r="33" s="235" customFormat="true" ht="15" hidden="false" customHeight="false" outlineLevel="0" collapsed="false">
      <c r="A33" s="259" t="s">
        <v>826</v>
      </c>
      <c r="B33" s="275" t="s">
        <v>823</v>
      </c>
      <c r="C33" s="265"/>
      <c r="D33" s="266"/>
      <c r="E33" s="259" t="s">
        <v>827</v>
      </c>
      <c r="F33" s="259" t="s">
        <v>823</v>
      </c>
      <c r="G33" s="267"/>
    </row>
    <row r="34" s="235" customFormat="true" ht="15" hidden="false" customHeight="false" outlineLevel="0" collapsed="false">
      <c r="A34" s="262" t="s">
        <v>828</v>
      </c>
      <c r="B34" s="260" t="s">
        <v>823</v>
      </c>
      <c r="C34" s="260"/>
      <c r="D34" s="261"/>
      <c r="E34" s="262" t="s">
        <v>824</v>
      </c>
      <c r="F34" s="262" t="s">
        <v>823</v>
      </c>
      <c r="G34" s="263"/>
    </row>
    <row r="35" s="235" customFormat="true" ht="12" hidden="false" customHeight="false" outlineLevel="0" collapsed="false">
      <c r="A35" s="233"/>
      <c r="B35" s="233"/>
      <c r="C35" s="233"/>
      <c r="D35" s="233"/>
      <c r="E35" s="233"/>
      <c r="F35" s="233"/>
      <c r="G35" s="233"/>
    </row>
    <row r="36" s="235" customFormat="true" ht="13.5" hidden="false" customHeight="true" outlineLevel="0" collapsed="false">
      <c r="A36" s="233"/>
      <c r="B36" s="233"/>
      <c r="C36" s="233"/>
      <c r="D36" s="233"/>
      <c r="E36" s="233"/>
      <c r="F36" s="233"/>
      <c r="G36" s="233"/>
    </row>
    <row r="37" s="235" customFormat="true" ht="13.5" hidden="false" customHeight="true" outlineLevel="0" collapsed="false">
      <c r="A37" s="233"/>
      <c r="B37" s="233"/>
      <c r="C37" s="233"/>
      <c r="D37" s="233"/>
      <c r="E37" s="233"/>
      <c r="F37" s="233"/>
      <c r="G37" s="233"/>
    </row>
    <row r="38" s="235" customFormat="true" ht="13.5" hidden="false" customHeight="true" outlineLevel="0" collapsed="false">
      <c r="A38" s="233"/>
      <c r="B38" s="233"/>
      <c r="C38" s="233"/>
      <c r="D38" s="233"/>
      <c r="E38" s="233"/>
      <c r="F38" s="233"/>
      <c r="G38" s="233"/>
    </row>
    <row r="39" s="235" customFormat="true" ht="13.5" hidden="false" customHeight="true" outlineLevel="0" collapsed="false">
      <c r="A39" s="233"/>
      <c r="B39" s="233"/>
      <c r="C39" s="233"/>
      <c r="D39" s="233"/>
      <c r="E39" s="233"/>
      <c r="F39" s="233"/>
      <c r="G39" s="233"/>
    </row>
    <row r="40" s="235" customFormat="true" ht="13.5" hidden="false" customHeight="true" outlineLevel="0" collapsed="false">
      <c r="A40" s="233"/>
      <c r="B40" s="233"/>
      <c r="C40" s="233"/>
      <c r="D40" s="233"/>
      <c r="E40" s="233"/>
      <c r="F40" s="233"/>
      <c r="G40" s="233"/>
    </row>
    <row r="41" s="235" customFormat="true" ht="13.5" hidden="false" customHeight="true" outlineLevel="0" collapsed="false">
      <c r="A41" s="233"/>
      <c r="B41" s="233"/>
      <c r="C41" s="233"/>
      <c r="D41" s="233"/>
      <c r="E41" s="233"/>
      <c r="F41" s="233"/>
      <c r="G41" s="233"/>
    </row>
    <row r="42" s="235" customFormat="true" ht="13.5" hidden="false" customHeight="true" outlineLevel="0" collapsed="false">
      <c r="A42" s="233"/>
      <c r="B42" s="233"/>
      <c r="C42" s="233"/>
      <c r="D42" s="233"/>
      <c r="E42" s="233"/>
      <c r="F42" s="233"/>
      <c r="G42" s="233"/>
    </row>
    <row r="43" s="235" customFormat="true" ht="13.5" hidden="false" customHeight="true" outlineLevel="0" collapsed="false">
      <c r="A43" s="233"/>
      <c r="B43" s="233"/>
      <c r="C43" s="233"/>
      <c r="D43" s="233"/>
      <c r="E43" s="233"/>
      <c r="F43" s="233"/>
      <c r="G43" s="233"/>
    </row>
    <row r="44" s="235" customFormat="true" ht="13.5" hidden="false" customHeight="true" outlineLevel="0" collapsed="false">
      <c r="A44" s="233"/>
      <c r="B44" s="233"/>
      <c r="C44" s="233"/>
      <c r="D44" s="233"/>
      <c r="E44" s="233"/>
      <c r="F44" s="233"/>
      <c r="G44" s="233"/>
    </row>
    <row r="45" s="235" customFormat="true" ht="13.5" hidden="false" customHeight="true" outlineLevel="0" collapsed="false">
      <c r="A45" s="233"/>
      <c r="B45" s="233"/>
      <c r="C45" s="233"/>
      <c r="D45" s="233"/>
      <c r="E45" s="233"/>
      <c r="F45" s="233"/>
      <c r="G45" s="233"/>
    </row>
    <row r="46" s="235" customFormat="true" ht="13.5" hidden="false" customHeight="true" outlineLevel="0" collapsed="false">
      <c r="A46" s="233"/>
      <c r="B46" s="233"/>
      <c r="C46" s="233"/>
      <c r="D46" s="233"/>
      <c r="E46" s="233"/>
      <c r="F46" s="233"/>
      <c r="G46" s="233"/>
    </row>
    <row r="47" s="235" customFormat="true" ht="13.5" hidden="false" customHeight="true" outlineLevel="0" collapsed="false">
      <c r="A47" s="233"/>
      <c r="B47" s="233"/>
      <c r="C47" s="233"/>
      <c r="D47" s="233"/>
      <c r="E47" s="233"/>
      <c r="F47" s="233"/>
      <c r="G47" s="233"/>
    </row>
    <row r="48" s="235" customFormat="true" ht="13.5" hidden="false" customHeight="true" outlineLevel="0" collapsed="false">
      <c r="A48" s="233"/>
      <c r="B48" s="233"/>
      <c r="C48" s="233"/>
      <c r="D48" s="233"/>
      <c r="E48" s="233"/>
      <c r="F48" s="233"/>
      <c r="G48" s="233"/>
    </row>
    <row r="49" s="235" customFormat="true" ht="13.5" hidden="false" customHeight="true" outlineLevel="0" collapsed="false">
      <c r="A49" s="233"/>
      <c r="B49" s="233"/>
      <c r="C49" s="233"/>
      <c r="D49" s="233"/>
      <c r="E49" s="233"/>
      <c r="F49" s="233"/>
      <c r="G49" s="233"/>
    </row>
    <row r="50" s="235" customFormat="true" ht="13.5" hidden="false" customHeight="true" outlineLevel="0" collapsed="false">
      <c r="A50" s="233"/>
      <c r="B50" s="233"/>
      <c r="C50" s="233"/>
      <c r="D50" s="233"/>
      <c r="E50" s="233"/>
      <c r="F50" s="233"/>
      <c r="G50" s="233"/>
    </row>
    <row r="51" s="235" customFormat="true" ht="13.5" hidden="false" customHeight="true" outlineLevel="0" collapsed="false">
      <c r="A51" s="233"/>
      <c r="B51" s="233"/>
      <c r="C51" s="233"/>
      <c r="D51" s="233"/>
      <c r="E51" s="233"/>
      <c r="F51" s="233"/>
      <c r="G51" s="233"/>
    </row>
    <row r="52" s="235" customFormat="true" ht="13.5" hidden="false" customHeight="true" outlineLevel="0" collapsed="false">
      <c r="A52" s="233"/>
      <c r="B52" s="233"/>
      <c r="C52" s="233"/>
      <c r="D52" s="233"/>
      <c r="E52" s="233"/>
      <c r="F52" s="233"/>
      <c r="G52" s="233"/>
    </row>
    <row r="53" s="235" customFormat="true" ht="13.5" hidden="false" customHeight="true" outlineLevel="0" collapsed="false">
      <c r="A53" s="233"/>
      <c r="B53" s="233"/>
      <c r="C53" s="233"/>
      <c r="D53" s="233"/>
      <c r="E53" s="233"/>
      <c r="F53" s="233"/>
      <c r="G53" s="233"/>
    </row>
    <row r="54" s="235" customFormat="true" ht="13.5" hidden="false" customHeight="true" outlineLevel="0" collapsed="false">
      <c r="A54" s="233"/>
      <c r="B54" s="233"/>
      <c r="C54" s="233"/>
      <c r="D54" s="233"/>
      <c r="E54" s="233"/>
      <c r="F54" s="233"/>
      <c r="G54" s="233"/>
    </row>
    <row r="55" customFormat="false" ht="13.5" hidden="false" customHeight="true" outlineLevel="0" collapsed="false">
      <c r="A55" s="276"/>
      <c r="B55" s="276"/>
      <c r="C55" s="276"/>
      <c r="D55" s="276"/>
      <c r="E55" s="276"/>
      <c r="F55" s="276"/>
      <c r="G55" s="276"/>
    </row>
    <row r="56" customFormat="false" ht="15" hidden="false" customHeight="false" outlineLevel="0" collapsed="false">
      <c r="A56" s="276"/>
      <c r="B56" s="276"/>
      <c r="C56" s="276"/>
      <c r="D56" s="276"/>
      <c r="E56" s="276"/>
      <c r="F56" s="276"/>
      <c r="G56" s="276"/>
    </row>
    <row r="57" customFormat="false" ht="15" hidden="false" customHeight="false" outlineLevel="0" collapsed="false">
      <c r="A57" s="276"/>
      <c r="B57" s="276"/>
      <c r="C57" s="276"/>
      <c r="D57" s="276"/>
      <c r="E57" s="276"/>
      <c r="F57" s="276"/>
      <c r="G57" s="276"/>
    </row>
  </sheetData>
  <mergeCells count="4">
    <mergeCell ref="E13:G13"/>
    <mergeCell ref="A17:G17"/>
    <mergeCell ref="A18:G18"/>
    <mergeCell ref="B32:D32"/>
  </mergeCells>
  <hyperlinks>
    <hyperlink ref="B24" r:id="rId1" display=",,,"/>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Roman,Normal"&amp;12&amp;Kffffff&amp;A</oddHeader>
    <oddFooter>&amp;C&amp;"Times New Roman,Normal"&amp;12&amp;KffffffPàgina &amp;P</oddFooter>
  </headerFooter>
  <colBreaks count="1" manualBreakCount="1">
    <brk id="7" man="true" max="65535" min="0"/>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346"/>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J11" activeCellId="0" sqref="J11"/>
    </sheetView>
  </sheetViews>
  <sheetFormatPr defaultColWidth="11.42578125" defaultRowHeight="13.8" customHeight="true" zeroHeight="false" outlineLevelRow="0" outlineLevelCol="0"/>
  <cols>
    <col collapsed="false" customWidth="true" hidden="true" outlineLevel="0" max="1" min="1" style="277" width="20.57"/>
    <col collapsed="false" customWidth="true" hidden="false" outlineLevel="0" max="2" min="2" style="277" width="5.42"/>
    <col collapsed="false" customWidth="true" hidden="false" outlineLevel="0" max="3" min="3" style="277" width="5.86"/>
    <col collapsed="false" customWidth="true" hidden="false" outlineLevel="0" max="4" min="4" style="278" width="49"/>
    <col collapsed="false" customWidth="true" hidden="false" outlineLevel="0" max="5" min="5" style="277" width="7.57"/>
    <col collapsed="false" customWidth="true" hidden="false" outlineLevel="0" max="6" min="6" style="277" width="6.14"/>
    <col collapsed="false" customWidth="true" hidden="false" outlineLevel="0" max="7" min="7" style="277" width="8.42"/>
    <col collapsed="false" customWidth="true" hidden="false" outlineLevel="0" max="8" min="8" style="279" width="12.86"/>
    <col collapsed="false" customWidth="true" hidden="false" outlineLevel="0" max="9" min="9" style="279" width="21.57"/>
    <col collapsed="false" customWidth="true" hidden="false" outlineLevel="0" max="10" min="10" style="277" width="35.57"/>
    <col collapsed="false" customWidth="true" hidden="false" outlineLevel="0" max="11" min="11" style="277" width="3.57"/>
    <col collapsed="false" customWidth="false" hidden="false" outlineLevel="0" max="16382" min="14" style="277" width="11.43"/>
    <col collapsed="false" customWidth="true" hidden="false" outlineLevel="0" max="16384" min="16383" style="277" width="11.53"/>
  </cols>
  <sheetData>
    <row r="1" s="287" customFormat="true" ht="13.8" hidden="false" customHeight="false" outlineLevel="0" collapsed="false">
      <c r="A1" s="280"/>
      <c r="B1" s="281" t="str">
        <f aca="false">PORTADA_PTO!A17</f>
        <v>VALORACIÓ ECONÒMICA</v>
      </c>
      <c r="C1" s="282"/>
      <c r="D1" s="283"/>
      <c r="E1" s="282"/>
      <c r="F1" s="282"/>
      <c r="G1" s="282"/>
      <c r="H1" s="284"/>
      <c r="I1" s="285"/>
      <c r="J1" s="286"/>
      <c r="L1" s="0"/>
      <c r="M1" s="0"/>
    </row>
    <row r="2" s="287" customFormat="true" ht="13.8" hidden="false" customHeight="false" outlineLevel="0" collapsed="false">
      <c r="A2" s="280"/>
      <c r="B2" s="288" t="str">
        <f aca="false">PORTADA_PTO!A18</f>
        <v>TRANSFORMACIÓ DELS ESPAIS EXTERIORS DE L’ESCOLA BRESSOL MUNICIPAL DE ROCAFONDA</v>
      </c>
      <c r="C2" s="289"/>
      <c r="D2" s="290"/>
      <c r="E2" s="289"/>
      <c r="F2" s="289"/>
      <c r="G2" s="289"/>
      <c r="H2" s="291"/>
      <c r="I2" s="292"/>
      <c r="J2" s="286"/>
      <c r="L2" s="0"/>
      <c r="M2" s="0"/>
    </row>
    <row r="3" s="287" customFormat="true" ht="13.8" hidden="false" customHeight="false" outlineLevel="0" collapsed="false">
      <c r="A3" s="280"/>
      <c r="B3" s="293" t="str">
        <f aca="false">PORTADA_PTO!E14</f>
        <v>MATARÓ</v>
      </c>
      <c r="C3" s="289"/>
      <c r="D3" s="290"/>
      <c r="E3" s="289"/>
      <c r="F3" s="289"/>
      <c r="G3" s="289"/>
      <c r="H3" s="291"/>
      <c r="I3" s="292"/>
      <c r="J3" s="286"/>
      <c r="L3" s="0"/>
      <c r="M3" s="0"/>
    </row>
    <row r="4" s="287" customFormat="true" ht="13.8" hidden="false" customHeight="false" outlineLevel="0" collapsed="false">
      <c r="A4" s="280"/>
      <c r="B4" s="294"/>
      <c r="C4" s="295"/>
      <c r="D4" s="296"/>
      <c r="E4" s="295"/>
      <c r="F4" s="295"/>
      <c r="G4" s="297"/>
      <c r="H4" s="297"/>
      <c r="I4" s="298" t="str">
        <f aca="false">PORTADA_PTO!E10</f>
        <v>Barcelona, 13 maig dimecres</v>
      </c>
      <c r="J4" s="286"/>
      <c r="L4" s="0"/>
      <c r="M4" s="0"/>
    </row>
    <row r="5" s="287" customFormat="true" ht="13.8" hidden="false" customHeight="false" outlineLevel="0" collapsed="false">
      <c r="A5" s="280"/>
      <c r="B5" s="299"/>
      <c r="C5" s="300"/>
      <c r="D5" s="301"/>
      <c r="E5" s="300"/>
      <c r="F5" s="300"/>
      <c r="G5" s="302"/>
      <c r="H5" s="303"/>
      <c r="I5" s="304"/>
      <c r="J5" s="286"/>
      <c r="L5" s="0"/>
      <c r="M5" s="0"/>
    </row>
    <row r="6" s="287" customFormat="true" ht="17.35" hidden="false" customHeight="false" outlineLevel="0" collapsed="false">
      <c r="A6" s="280"/>
      <c r="B6" s="305" t="s">
        <v>830</v>
      </c>
      <c r="C6" s="306"/>
      <c r="D6" s="307"/>
      <c r="E6" s="306"/>
      <c r="F6" s="306"/>
      <c r="G6" s="308"/>
      <c r="H6" s="309"/>
      <c r="I6" s="310" t="n">
        <f aca="false">SUM(I10:I344)/2</f>
        <v>90154.99227</v>
      </c>
      <c r="L6" s="0"/>
      <c r="M6" s="0"/>
    </row>
    <row r="7" s="287" customFormat="true" ht="13.8" hidden="false" customHeight="false" outlineLevel="0" collapsed="false">
      <c r="A7" s="280"/>
      <c r="B7" s="311" t="s">
        <v>831</v>
      </c>
      <c r="C7" s="300"/>
      <c r="D7" s="301"/>
      <c r="E7" s="300"/>
      <c r="F7" s="300"/>
      <c r="G7" s="312"/>
      <c r="H7" s="303"/>
      <c r="I7" s="304"/>
      <c r="J7" s="286"/>
      <c r="L7" s="0"/>
      <c r="M7" s="0"/>
    </row>
    <row r="8" s="286" customFormat="true" ht="13.8" hidden="false" customHeight="false" outlineLevel="0" collapsed="false">
      <c r="A8" s="313" t="s">
        <v>832</v>
      </c>
      <c r="B8" s="314" t="s">
        <v>833</v>
      </c>
      <c r="C8" s="315" t="s">
        <v>834</v>
      </c>
      <c r="D8" s="316" t="s">
        <v>835</v>
      </c>
      <c r="E8" s="317"/>
      <c r="F8" s="317"/>
      <c r="G8" s="318" t="s">
        <v>836</v>
      </c>
      <c r="H8" s="319" t="s">
        <v>837</v>
      </c>
      <c r="I8" s="320" t="s">
        <v>838</v>
      </c>
      <c r="J8" s="321"/>
      <c r="L8" s="0"/>
      <c r="M8" s="0"/>
    </row>
    <row r="9" s="286" customFormat="true" ht="13.8" hidden="false" customHeight="false" outlineLevel="0" collapsed="false">
      <c r="A9" s="313"/>
      <c r="B9" s="322"/>
      <c r="C9" s="323"/>
      <c r="D9" s="324"/>
      <c r="E9" s="325"/>
      <c r="F9" s="325"/>
      <c r="G9" s="326"/>
      <c r="H9" s="327"/>
      <c r="I9" s="328"/>
      <c r="J9" s="321"/>
      <c r="L9" s="0"/>
      <c r="M9" s="0"/>
    </row>
    <row r="10" s="286" customFormat="true" ht="13.8" hidden="false" customHeight="false" outlineLevel="0" collapsed="false">
      <c r="A10" s="329"/>
      <c r="B10" s="330" t="s">
        <v>839</v>
      </c>
      <c r="C10" s="331"/>
      <c r="D10" s="332"/>
      <c r="E10" s="333"/>
      <c r="F10" s="333"/>
      <c r="G10" s="334"/>
      <c r="H10" s="335"/>
      <c r="I10" s="336" t="n">
        <f aca="false">SUM(I12:I66)</f>
        <v>9663.42432</v>
      </c>
      <c r="L10" s="0"/>
      <c r="M10" s="0"/>
    </row>
    <row r="12" s="286" customFormat="true" ht="13.8" hidden="false" customHeight="false" outlineLevel="0" collapsed="false">
      <c r="A12" s="286" t="s">
        <v>173</v>
      </c>
      <c r="B12" s="337" t="s">
        <v>840</v>
      </c>
      <c r="C12" s="337" t="str">
        <f aca="false">+VLOOKUP($A12,BASEdades!$A$3:$AA$283,3,FALSE())</f>
        <v>m</v>
      </c>
      <c r="D12" s="338" t="str">
        <f aca="false">+VLOOKUP($A12,BASEdades!$A$3:$AA$283,2,FALSE())</f>
        <v>Retirada de tanca de fusta existent</v>
      </c>
      <c r="E12" s="338"/>
      <c r="F12" s="338"/>
      <c r="G12" s="339" t="n">
        <f aca="false">G15</f>
        <v>36.8</v>
      </c>
      <c r="H12" s="340" t="n">
        <f aca="false">+VLOOKUP($A12,BASEdades!$A$3:$AA$283,7,FALSE())</f>
        <v>20</v>
      </c>
      <c r="I12" s="340" t="n">
        <f aca="false">G12*H12</f>
        <v>736</v>
      </c>
      <c r="L12" s="0"/>
      <c r="M12" s="0"/>
    </row>
    <row r="13" s="286" customFormat="true" ht="41.75" hidden="false" customHeight="false" outlineLevel="0" collapsed="false">
      <c r="A13" s="329"/>
      <c r="B13" s="323"/>
      <c r="C13" s="323"/>
      <c r="D13" s="341" t="str">
        <f aca="false">+VLOOKUP($A12,BASEdades!$A$3:$AA$283,4,FALSE())</f>
        <v>Retirada de tanca de fusta de fins a 2 m d'alçària, com a màxim, sense enderroc de daus de formigó, a mà i càrrega manual i mecànica de runa sobre camió o contenidor.</v>
      </c>
      <c r="E13" s="342"/>
      <c r="F13" s="342"/>
      <c r="G13" s="343"/>
      <c r="H13" s="344"/>
      <c r="I13" s="345"/>
      <c r="L13" s="0"/>
      <c r="M13" s="0"/>
    </row>
    <row r="14" s="286" customFormat="true" ht="13.8" hidden="false" customHeight="false" outlineLevel="0" collapsed="false">
      <c r="A14" s="329"/>
      <c r="B14" s="323"/>
      <c r="C14" s="323"/>
      <c r="D14" s="346" t="str">
        <f aca="false">+VLOOKUP($A12,BASEdades!$A$3:$AA$283,5,FALSE())</f>
        <v>.Mides de la tanca: mòduls 1.5m x 1m </v>
      </c>
      <c r="E14" s="347"/>
      <c r="F14" s="347"/>
      <c r="G14" s="348"/>
      <c r="H14" s="349"/>
      <c r="I14" s="304"/>
      <c r="L14" s="0"/>
      <c r="M14" s="0"/>
    </row>
    <row r="15" s="286" customFormat="true" ht="13.8" hidden="false" customHeight="false" outlineLevel="0" collapsed="false">
      <c r="A15" s="329"/>
      <c r="B15" s="323"/>
      <c r="C15" s="323"/>
      <c r="D15" s="350" t="s">
        <v>841</v>
      </c>
      <c r="E15" s="348" t="n">
        <v>46</v>
      </c>
      <c r="F15" s="348" t="n">
        <v>0.8</v>
      </c>
      <c r="G15" s="348" t="n">
        <f aca="false">E15*F15</f>
        <v>36.8</v>
      </c>
      <c r="H15" s="344"/>
      <c r="I15" s="345"/>
      <c r="L15" s="0"/>
      <c r="M15" s="0"/>
    </row>
    <row r="16" customFormat="false" ht="13.8" hidden="false" customHeight="false" outlineLevel="0" collapsed="false">
      <c r="D16" s="351"/>
      <c r="G16" s="352"/>
    </row>
    <row r="17" s="286" customFormat="true" ht="13.8" hidden="false" customHeight="false" outlineLevel="0" collapsed="false">
      <c r="A17" s="286" t="s">
        <v>179</v>
      </c>
      <c r="B17" s="337" t="s">
        <v>842</v>
      </c>
      <c r="C17" s="337" t="str">
        <f aca="false">+VLOOKUP($A17,BASEdades!$A$3:$AA$283,3,FALSE())</f>
        <v>ut</v>
      </c>
      <c r="D17" s="338" t="str">
        <f aca="false">+VLOOKUP($A17,BASEdades!$A$3:$AA$283,2,FALSE())</f>
        <v>Retirada joc existent</v>
      </c>
      <c r="E17" s="338"/>
      <c r="F17" s="338"/>
      <c r="G17" s="339" t="n">
        <f aca="false">G20</f>
        <v>9</v>
      </c>
      <c r="H17" s="340" t="n">
        <f aca="false">+VLOOKUP($A17,BASEdades!$A$3:$AA$283,7,FALSE())</f>
        <v>120</v>
      </c>
      <c r="I17" s="340" t="n">
        <f aca="false">G17*H17</f>
        <v>1080</v>
      </c>
      <c r="L17" s="0"/>
      <c r="M17" s="0"/>
    </row>
    <row r="18" s="286" customFormat="true" ht="28.35" hidden="false" customHeight="false" outlineLevel="0" collapsed="false">
      <c r="A18" s="329"/>
      <c r="B18" s="323"/>
      <c r="C18" s="323"/>
      <c r="D18" s="341" t="str">
        <f aca="false">+VLOOKUP($A17,BASEdades!$A$3:$AA$283,4,FALSE())</f>
        <v>Retirada de joc existent, sense enderroc de daus de formigó, a mà i acopi en obra (no inclou recol.locació).</v>
      </c>
      <c r="E18" s="342"/>
      <c r="F18" s="342"/>
      <c r="G18" s="343"/>
      <c r="H18" s="344"/>
      <c r="I18" s="345"/>
      <c r="L18" s="0"/>
      <c r="M18" s="0"/>
    </row>
    <row r="19" s="286" customFormat="true" ht="13.8" hidden="false" customHeight="false" outlineLevel="0" collapsed="false">
      <c r="A19" s="329"/>
      <c r="B19" s="323"/>
      <c r="C19" s="323"/>
      <c r="D19" s="346" t="str">
        <f aca="false">+VLOOKUP($A17,BASEdades!$A$3:$AA$283,5,FALSE())</f>
        <v>.Mides del joc: alçada fins 1,5m i àrea màx: 100cm*100cm</v>
      </c>
      <c r="E19" s="347"/>
      <c r="F19" s="347"/>
      <c r="G19" s="348"/>
      <c r="H19" s="349"/>
      <c r="I19" s="304"/>
      <c r="L19" s="0"/>
      <c r="M19" s="0"/>
    </row>
    <row r="20" s="286" customFormat="true" ht="13.8" hidden="false" customHeight="false" outlineLevel="0" collapsed="false">
      <c r="A20" s="329"/>
      <c r="B20" s="323"/>
      <c r="C20" s="323"/>
      <c r="D20" s="350" t="s">
        <v>843</v>
      </c>
      <c r="E20" s="348"/>
      <c r="F20" s="348"/>
      <c r="G20" s="348" t="n">
        <v>9</v>
      </c>
      <c r="H20" s="344"/>
      <c r="I20" s="345"/>
      <c r="L20" s="0"/>
      <c r="M20" s="0"/>
    </row>
    <row r="21" customFormat="false" ht="13.8" hidden="false" customHeight="false" outlineLevel="0" collapsed="false">
      <c r="D21" s="351"/>
      <c r="G21" s="352"/>
    </row>
    <row r="22" s="286" customFormat="true" ht="13.8" hidden="false" customHeight="false" outlineLevel="0" collapsed="false">
      <c r="A22" s="286" t="s">
        <v>176</v>
      </c>
      <c r="B22" s="337" t="s">
        <v>844</v>
      </c>
      <c r="C22" s="337" t="str">
        <f aca="false">+VLOOKUP($A22,BASEdades!$A$3:$AA$283,3,FALSE())</f>
        <v>ut</v>
      </c>
      <c r="D22" s="338" t="str">
        <f aca="false">+VLOOKUP($A22,BASEdades!$A$3:$AA$283,2,FALSE())</f>
        <v>Retirada mobiliari existent</v>
      </c>
      <c r="E22" s="338"/>
      <c r="F22" s="338"/>
      <c r="G22" s="339" t="n">
        <f aca="false">G25</f>
        <v>3</v>
      </c>
      <c r="H22" s="340" t="n">
        <f aca="false">+VLOOKUP($A22,BASEdades!$A$3:$AA$283,7,FALSE())</f>
        <v>40</v>
      </c>
      <c r="I22" s="340" t="n">
        <f aca="false">G22*H22</f>
        <v>120</v>
      </c>
      <c r="L22" s="0"/>
      <c r="M22" s="0"/>
    </row>
    <row r="23" s="286" customFormat="true" ht="41.75" hidden="false" customHeight="false" outlineLevel="0" collapsed="false">
      <c r="A23" s="329"/>
      <c r="B23" s="323"/>
      <c r="C23" s="323"/>
      <c r="D23" s="341" t="str">
        <f aca="false">+VLOOKUP($A22,BASEdades!$A$3:$AA$283,4,FALSE())</f>
        <v>Retirada de mobiliari existent (banc existent, jardineres, taules de picnic,...)  sense enderroc de daus de formigó, a mà i acopi en obra (no inclou recol.locació).</v>
      </c>
      <c r="E23" s="342"/>
      <c r="F23" s="342"/>
      <c r="G23" s="343"/>
      <c r="H23" s="344"/>
      <c r="I23" s="345"/>
      <c r="L23" s="0"/>
      <c r="M23" s="0"/>
    </row>
    <row r="24" s="286" customFormat="true" ht="13.8" hidden="false" customHeight="false" outlineLevel="0" collapsed="false">
      <c r="A24" s="329"/>
      <c r="B24" s="323"/>
      <c r="C24" s="323"/>
      <c r="D24" s="346" t="str">
        <f aca="false">+VLOOKUP($A22,BASEdades!$A$3:$AA$283,5,FALSE())</f>
        <v>.</v>
      </c>
      <c r="E24" s="347"/>
      <c r="F24" s="347"/>
      <c r="G24" s="348"/>
      <c r="H24" s="349"/>
      <c r="I24" s="304"/>
      <c r="L24" s="0"/>
      <c r="M24" s="0"/>
    </row>
    <row r="25" s="286" customFormat="true" ht="13.8" hidden="false" customHeight="false" outlineLevel="0" collapsed="false">
      <c r="A25" s="329"/>
      <c r="B25" s="323"/>
      <c r="C25" s="323"/>
      <c r="D25" s="350" t="s">
        <v>845</v>
      </c>
      <c r="E25" s="348"/>
      <c r="F25" s="348"/>
      <c r="G25" s="348" t="n">
        <v>3</v>
      </c>
      <c r="H25" s="344"/>
      <c r="I25" s="345"/>
      <c r="L25" s="0"/>
      <c r="M25" s="0"/>
    </row>
    <row r="26" customFormat="false" ht="13.8" hidden="false" customHeight="false" outlineLevel="0" collapsed="false">
      <c r="D26" s="351"/>
      <c r="G26" s="352"/>
    </row>
    <row r="27" s="286" customFormat="true" ht="13.8" hidden="false" customHeight="false" outlineLevel="0" collapsed="false">
      <c r="A27" s="286" t="s">
        <v>63</v>
      </c>
      <c r="B27" s="337" t="s">
        <v>846</v>
      </c>
      <c r="C27" s="337" t="str">
        <f aca="false">+VLOOKUP($A27,BASEdades!$A$3:$AA$283,3,FALSE())</f>
        <v>m3</v>
      </c>
      <c r="D27" s="338" t="str">
        <f aca="false">+VLOOKUP($A27,BASEdades!$A$3:$AA$283,2,FALSE())</f>
        <v>Demolició de fonamentació de formigó</v>
      </c>
      <c r="E27" s="338"/>
      <c r="F27" s="338"/>
      <c r="G27" s="339" t="n">
        <f aca="false">G30</f>
        <v>0.625</v>
      </c>
      <c r="H27" s="340" t="n">
        <f aca="false">+VLOOKUP($A27,BASEdades!$A$3:$AA$283,7,FALSE())</f>
        <v>243.76</v>
      </c>
      <c r="I27" s="340" t="n">
        <f aca="false">G27*H27</f>
        <v>152.35</v>
      </c>
      <c r="L27" s="0"/>
      <c r="M27" s="0"/>
    </row>
    <row r="28" s="286" customFormat="true" ht="51" hidden="false" customHeight="true" outlineLevel="0" collapsed="false">
      <c r="A28" s="329"/>
      <c r="B28" s="323"/>
      <c r="C28" s="323"/>
      <c r="D28" s="353" t="str">
        <f aca="false">+VLOOKUP($A27,BASEdades!$A$3:$AA$283,4,FALSE())</f>
        <v>Demolició de fonamentació de formigó en massa, per a elements de mobiliari urbà, amb mitjans manuals, martell pneumàtic i càrrega manual sobre camió o contenidor.
</v>
      </c>
      <c r="E28" s="342"/>
      <c r="F28" s="342"/>
      <c r="G28" s="343"/>
      <c r="H28" s="344"/>
      <c r="I28" s="345"/>
      <c r="L28" s="0"/>
      <c r="M28" s="0"/>
    </row>
    <row r="29" s="286" customFormat="true" ht="13.8" hidden="false" customHeight="false" outlineLevel="0" collapsed="false">
      <c r="A29" s="329"/>
      <c r="B29" s="323"/>
      <c r="C29" s="323"/>
      <c r="D29" s="346" t="str">
        <f aca="false">+VLOOKUP($A27,BASEdades!$A$3:$AA$283,5,FALSE())</f>
        <v>.</v>
      </c>
      <c r="E29" s="347"/>
      <c r="F29" s="347"/>
      <c r="G29" s="348"/>
      <c r="H29" s="349"/>
      <c r="I29" s="304"/>
      <c r="L29" s="0"/>
      <c r="M29" s="0"/>
    </row>
    <row r="30" s="286" customFormat="true" ht="13.8" hidden="false" customHeight="false" outlineLevel="0" collapsed="false">
      <c r="A30" s="329"/>
      <c r="B30" s="323"/>
      <c r="C30" s="323"/>
      <c r="D30" s="350" t="s">
        <v>847</v>
      </c>
      <c r="E30" s="348" t="n">
        <v>5</v>
      </c>
      <c r="F30" s="348" t="n">
        <f aca="false">0.5*0.5*0.5</f>
        <v>0.125</v>
      </c>
      <c r="G30" s="348" t="n">
        <f aca="false">E30*F30</f>
        <v>0.625</v>
      </c>
      <c r="H30" s="344"/>
      <c r="I30" s="345"/>
      <c r="L30" s="0"/>
      <c r="M30" s="0"/>
    </row>
    <row r="31" customFormat="false" ht="13.8" hidden="false" customHeight="false" outlineLevel="0" collapsed="false">
      <c r="D31" s="351"/>
      <c r="G31" s="352"/>
    </row>
    <row r="32" s="286" customFormat="true" ht="13.8" hidden="false" customHeight="false" outlineLevel="0" collapsed="false">
      <c r="A32" s="286" t="s">
        <v>49</v>
      </c>
      <c r="B32" s="337" t="s">
        <v>848</v>
      </c>
      <c r="C32" s="337" t="str">
        <f aca="false">+VLOOKUP($A32,BASEdades!$A$3:$AA$283,3,FALSE())</f>
        <v>m</v>
      </c>
      <c r="D32" s="338" t="str">
        <f aca="false">+VLOOKUP($A32,BASEdades!$A$3:$AA$283,2,FALSE())</f>
        <v>Demolició de graó de formigó</v>
      </c>
      <c r="E32" s="338"/>
      <c r="F32" s="338"/>
      <c r="G32" s="339" t="n">
        <f aca="false">G35</f>
        <v>26</v>
      </c>
      <c r="H32" s="340" t="n">
        <f aca="false">+VLOOKUP($A32,BASEdades!$A$3:$AA$283,7,FALSE())</f>
        <v>7.62</v>
      </c>
      <c r="I32" s="340" t="n">
        <f aca="false">G32*H32</f>
        <v>198.12</v>
      </c>
      <c r="L32" s="0"/>
      <c r="M32" s="0"/>
    </row>
    <row r="33" s="286" customFormat="true" ht="55.2" hidden="false" customHeight="false" outlineLevel="0" collapsed="false">
      <c r="A33" s="329"/>
      <c r="B33" s="323"/>
      <c r="C33" s="323"/>
      <c r="D33" s="341" t="str">
        <f aca="false">+VLOOKUP($A32,BASEdades!$A$3:$AA$283,4,FALSE())</f>
        <v>Demolició de graó de formigó, inclús la seva base, amb compressor i càrrega manual i mecànica de runa sobre camió o conenidor. Inclou l'enderroc d'estesa i alçada de graó de les mides existents.</v>
      </c>
      <c r="E33" s="342"/>
      <c r="F33" s="342"/>
      <c r="G33" s="343"/>
      <c r="H33" s="344"/>
      <c r="I33" s="345"/>
      <c r="L33" s="0"/>
      <c r="M33" s="0"/>
    </row>
    <row r="34" s="286" customFormat="true" ht="13.8" hidden="false" customHeight="false" outlineLevel="0" collapsed="false">
      <c r="A34" s="329"/>
      <c r="B34" s="323"/>
      <c r="C34" s="323"/>
      <c r="D34" s="346" t="s">
        <v>13</v>
      </c>
      <c r="E34" s="347"/>
      <c r="F34" s="347"/>
      <c r="G34" s="348"/>
      <c r="H34" s="349"/>
      <c r="I34" s="304"/>
      <c r="L34" s="0"/>
      <c r="M34" s="0"/>
    </row>
    <row r="35" s="286" customFormat="true" ht="13.8" hidden="false" customHeight="false" outlineLevel="0" collapsed="false">
      <c r="A35" s="329"/>
      <c r="B35" s="323"/>
      <c r="C35" s="323"/>
      <c r="D35" s="350" t="s">
        <v>849</v>
      </c>
      <c r="E35" s="348"/>
      <c r="F35" s="348"/>
      <c r="G35" s="348" t="n">
        <v>26</v>
      </c>
      <c r="H35" s="344"/>
      <c r="I35" s="345"/>
      <c r="L35" s="0"/>
      <c r="M35" s="0"/>
    </row>
    <row r="36" customFormat="false" ht="13.8" hidden="false" customHeight="false" outlineLevel="0" collapsed="false">
      <c r="D36" s="351"/>
      <c r="G36" s="352"/>
    </row>
    <row r="37" s="286" customFormat="true" ht="13.8" hidden="false" customHeight="false" outlineLevel="0" collapsed="false">
      <c r="A37" s="286" t="s">
        <v>184</v>
      </c>
      <c r="B37" s="337" t="s">
        <v>850</v>
      </c>
      <c r="C37" s="337" t="str">
        <f aca="false">+VLOOKUP($A37,BASEdades!$A$3:$AA$283,3,FALSE())</f>
        <v>ut</v>
      </c>
      <c r="D37" s="338" t="str">
        <f aca="false">+VLOOKUP($A37,BASEdades!$A$3:$AA$283,2,FALSE())</f>
        <v>Recol.lació de mobiliari existent</v>
      </c>
      <c r="E37" s="338"/>
      <c r="F37" s="338"/>
      <c r="G37" s="339" t="n">
        <f aca="false">G40</f>
        <v>1</v>
      </c>
      <c r="H37" s="340" t="n">
        <f aca="false">+VLOOKUP($A37,BASEdades!$A$3:$AA$283,7,FALSE())</f>
        <v>156</v>
      </c>
      <c r="I37" s="340" t="n">
        <f aca="false">G37*H37</f>
        <v>156</v>
      </c>
      <c r="L37" s="0"/>
      <c r="M37" s="0"/>
    </row>
    <row r="38" s="286" customFormat="true" ht="55.2" hidden="false" customHeight="false" outlineLevel="0" collapsed="false">
      <c r="A38" s="329"/>
      <c r="B38" s="323"/>
      <c r="C38" s="323"/>
      <c r="D38" s="341" t="str">
        <f aca="false">+VLOOKUP($A37,BASEdades!$A$3:$AA$283,4,FALSE())</f>
        <v>Recol.locació de mobiliari existent (banc existent, jardineres, taules de picnic)  sobre paviment, fixat mecànicament. (No inclou la formació de daus de formigó. No inclou reparació de l'element) </v>
      </c>
      <c r="E38" s="342"/>
      <c r="F38" s="342"/>
      <c r="G38" s="343"/>
      <c r="H38" s="344"/>
      <c r="I38" s="345"/>
      <c r="L38" s="0"/>
      <c r="M38" s="0"/>
    </row>
    <row r="39" s="286" customFormat="true" ht="13.8" hidden="false" customHeight="false" outlineLevel="0" collapsed="false">
      <c r="A39" s="329"/>
      <c r="B39" s="323"/>
      <c r="C39" s="323"/>
      <c r="D39" s="346" t="str">
        <f aca="false">+VLOOKUP($A37,BASEdades!$A$3:$AA$283,5,FALSE())</f>
        <v>.</v>
      </c>
      <c r="E39" s="347"/>
      <c r="F39" s="347"/>
      <c r="G39" s="348"/>
      <c r="H39" s="349"/>
      <c r="I39" s="304"/>
      <c r="L39" s="0"/>
      <c r="M39" s="0"/>
    </row>
    <row r="40" s="286" customFormat="true" ht="13.8" hidden="false" customHeight="false" outlineLevel="0" collapsed="false">
      <c r="A40" s="329"/>
      <c r="B40" s="323"/>
      <c r="C40" s="323"/>
      <c r="D40" s="350" t="s">
        <v>851</v>
      </c>
      <c r="E40" s="348"/>
      <c r="F40" s="348"/>
      <c r="G40" s="348" t="n">
        <v>1</v>
      </c>
      <c r="H40" s="344"/>
      <c r="I40" s="345"/>
      <c r="L40" s="0"/>
      <c r="M40" s="0"/>
    </row>
    <row r="41" customFormat="false" ht="13.8" hidden="false" customHeight="false" outlineLevel="0" collapsed="false">
      <c r="D41" s="351"/>
      <c r="G41" s="352"/>
    </row>
    <row r="42" s="286" customFormat="true" ht="13.8" hidden="false" customHeight="false" outlineLevel="0" collapsed="false">
      <c r="A42" s="286" t="s">
        <v>68</v>
      </c>
      <c r="B42" s="337" t="s">
        <v>852</v>
      </c>
      <c r="C42" s="337" t="str">
        <f aca="false">+VLOOKUP($A42,BASEdades!$A$3:$AA$283,3,FALSE())</f>
        <v>m3</v>
      </c>
      <c r="D42" s="338" t="str">
        <f aca="false">+VLOOKUP($A42,BASEdades!$A$3:$AA$283,2,FALSE())</f>
        <v>Rebaix de terreny</v>
      </c>
      <c r="E42" s="338"/>
      <c r="F42" s="338"/>
      <c r="G42" s="339" t="n">
        <f aca="false">SUM(G45:G50)</f>
        <v>68.4475</v>
      </c>
      <c r="H42" s="340" t="n">
        <f aca="false">+VLOOKUP($A42,BASEdades!$A$3:$AA$283,7,FALSE())</f>
        <v>49</v>
      </c>
      <c r="I42" s="340" t="n">
        <f aca="false">G42*H42</f>
        <v>3353.9275</v>
      </c>
      <c r="L42" s="0"/>
      <c r="M42" s="0"/>
    </row>
    <row r="43" s="286" customFormat="true" ht="41.75" hidden="false" customHeight="false" outlineLevel="0" collapsed="false">
      <c r="A43" s="329"/>
      <c r="B43" s="323"/>
      <c r="C43" s="323"/>
      <c r="D43" s="341" t="str">
        <f aca="false">+VLOOKUP($A42,BASEdades!$A$3:$AA$283,4,FALSE())</f>
        <v>Excavació a cel obert, en terra d'argila semidura, amb mitjans mecànics i càrrega a camió. El preu no inclou el transport dels materials excavats.</v>
      </c>
      <c r="E43" s="342"/>
      <c r="F43" s="342"/>
      <c r="G43" s="343"/>
      <c r="H43" s="344"/>
      <c r="I43" s="345"/>
      <c r="L43" s="0"/>
      <c r="M43" s="0"/>
    </row>
    <row r="44" s="286" customFormat="true" ht="13.8" hidden="false" customHeight="false" outlineLevel="0" collapsed="false">
      <c r="A44" s="329"/>
      <c r="B44" s="323"/>
      <c r="C44" s="323"/>
      <c r="D44" s="346" t="str">
        <f aca="false">+VLOOKUP($A42,BASEdades!$A$3:$AA$283,5,FALSE())</f>
        <v>.</v>
      </c>
      <c r="E44" s="347"/>
      <c r="F44" s="347"/>
      <c r="G44" s="348"/>
      <c r="H44" s="349"/>
      <c r="I44" s="304"/>
      <c r="L44" s="0"/>
      <c r="M44" s="0"/>
    </row>
    <row r="45" s="286" customFormat="true" ht="13.8" hidden="false" customHeight="false" outlineLevel="0" collapsed="false">
      <c r="A45" s="329"/>
      <c r="B45" s="323"/>
      <c r="C45" s="323"/>
      <c r="D45" s="350" t="s">
        <v>853</v>
      </c>
      <c r="E45" s="348" t="n">
        <v>27.5</v>
      </c>
      <c r="F45" s="348" t="n">
        <v>0.4</v>
      </c>
      <c r="G45" s="348" t="n">
        <f aca="false">E45*F45</f>
        <v>11</v>
      </c>
      <c r="H45" s="344"/>
      <c r="I45" s="345"/>
      <c r="L45" s="0"/>
      <c r="M45" s="0"/>
    </row>
    <row r="46" s="286" customFormat="true" ht="13.8" hidden="false" customHeight="false" outlineLevel="0" collapsed="false">
      <c r="A46" s="329"/>
      <c r="B46" s="323"/>
      <c r="C46" s="323"/>
      <c r="D46" s="350" t="s">
        <v>854</v>
      </c>
      <c r="E46" s="348" t="n">
        <v>72</v>
      </c>
      <c r="F46" s="348" t="n">
        <v>0.4</v>
      </c>
      <c r="G46" s="348" t="n">
        <f aca="false">E46*F46</f>
        <v>28.8</v>
      </c>
      <c r="H46" s="344"/>
      <c r="I46" s="345"/>
      <c r="L46" s="0"/>
      <c r="M46" s="0"/>
    </row>
    <row r="47" s="286" customFormat="true" ht="13.8" hidden="false" customHeight="false" outlineLevel="0" collapsed="false">
      <c r="A47" s="329"/>
      <c r="B47" s="323"/>
      <c r="C47" s="323"/>
      <c r="D47" s="350" t="s">
        <v>855</v>
      </c>
      <c r="E47" s="348" t="n">
        <v>29</v>
      </c>
      <c r="F47" s="348" t="n">
        <v>0.3</v>
      </c>
      <c r="G47" s="348" t="n">
        <f aca="false">E47*F47</f>
        <v>8.7</v>
      </c>
      <c r="H47" s="344"/>
      <c r="I47" s="345"/>
      <c r="L47" s="0"/>
      <c r="M47" s="0"/>
    </row>
    <row r="48" s="286" customFormat="true" ht="13.8" hidden="false" customHeight="false" outlineLevel="0" collapsed="false">
      <c r="A48" s="329"/>
      <c r="B48" s="323"/>
      <c r="C48" s="323"/>
      <c r="D48" s="350" t="s">
        <v>856</v>
      </c>
      <c r="E48" s="348" t="n">
        <f aca="false">G75</f>
        <v>45.85</v>
      </c>
      <c r="F48" s="348" t="n">
        <v>0.35</v>
      </c>
      <c r="G48" s="348" t="n">
        <f aca="false">E48*F48</f>
        <v>16.0475</v>
      </c>
      <c r="H48" s="344"/>
      <c r="I48" s="345"/>
      <c r="L48" s="0"/>
      <c r="M48" s="0"/>
    </row>
    <row r="49" s="286" customFormat="true" ht="13.8" hidden="false" customHeight="false" outlineLevel="0" collapsed="false">
      <c r="A49" s="329"/>
      <c r="B49" s="323"/>
      <c r="C49" s="323"/>
      <c r="D49" s="350" t="s">
        <v>8</v>
      </c>
      <c r="E49" s="348" t="n">
        <v>1</v>
      </c>
      <c r="F49" s="348" t="n">
        <v>3</v>
      </c>
      <c r="G49" s="348" t="n">
        <f aca="false">E49*F49</f>
        <v>3</v>
      </c>
      <c r="H49" s="344"/>
      <c r="I49" s="345"/>
      <c r="L49" s="0"/>
      <c r="M49" s="0"/>
    </row>
    <row r="50" s="286" customFormat="true" ht="13.8" hidden="false" customHeight="false" outlineLevel="0" collapsed="false">
      <c r="A50" s="329"/>
      <c r="B50" s="323"/>
      <c r="C50" s="323"/>
      <c r="D50" s="350" t="s">
        <v>857</v>
      </c>
      <c r="E50" s="348" t="n">
        <v>10</v>
      </c>
      <c r="F50" s="348" t="n">
        <f aca="false">0.3*0.3</f>
        <v>0.09</v>
      </c>
      <c r="G50" s="348" t="n">
        <f aca="false">E50*F50</f>
        <v>0.9</v>
      </c>
      <c r="H50" s="344"/>
      <c r="I50" s="345"/>
      <c r="L50" s="0"/>
      <c r="M50" s="0"/>
    </row>
    <row r="51" customFormat="false" ht="13.8" hidden="false" customHeight="false" outlineLevel="0" collapsed="false">
      <c r="D51" s="351"/>
      <c r="G51" s="352"/>
    </row>
    <row r="52" s="286" customFormat="true" ht="13.8" hidden="false" customHeight="false" outlineLevel="0" collapsed="false">
      <c r="A52" s="286" t="s">
        <v>16</v>
      </c>
      <c r="B52" s="337" t="s">
        <v>858</v>
      </c>
      <c r="C52" s="337" t="str">
        <f aca="false">+VLOOKUP($A52,BASEdades!$A$3:$AA$283,3,FALSE())</f>
        <v>m3</v>
      </c>
      <c r="D52" s="338" t="str">
        <f aca="false">+VLOOKUP($A52,BASEdades!$A$3:$AA$283,2,FALSE())</f>
        <v>Transport residus</v>
      </c>
      <c r="E52" s="338"/>
      <c r="F52" s="338"/>
      <c r="G52" s="339" t="n">
        <f aca="false">SUM(G55:G60)</f>
        <v>98.699</v>
      </c>
      <c r="H52" s="340" t="n">
        <f aca="false">+VLOOKUP($A52,BASEdades!$A$3:$AA$283,7,FALSE())</f>
        <v>18.54</v>
      </c>
      <c r="I52" s="340" t="n">
        <f aca="false">G52*H52</f>
        <v>1829.87946</v>
      </c>
      <c r="L52" s="0"/>
      <c r="M52" s="0"/>
    </row>
    <row r="53" s="286" customFormat="true" ht="76.5" hidden="false" customHeight="true" outlineLevel="0" collapsed="false">
      <c r="A53" s="329"/>
      <c r="B53" s="323"/>
      <c r="C53" s="323"/>
      <c r="D53" s="341" t="str">
        <f aca="false">+VLOOKUP($A52,BASEdades!$A$3:$AA$283,4,FALSE())</f>
        <v>Transport de residus inerts o no especials a instal·lació autorizada de gestió de residus, amb contenidor de qualsevol mida de capacitat, amb un recorregut complert fins a la instal·lació autoritzada de gestió del residu. Es considera un increment de 30% de l'amidament en concepte d'esponjament.</v>
      </c>
      <c r="E53" s="342"/>
      <c r="F53" s="342"/>
      <c r="G53" s="343"/>
      <c r="H53" s="344"/>
      <c r="I53" s="345"/>
      <c r="L53" s="0"/>
      <c r="M53" s="0"/>
    </row>
    <row r="54" customFormat="false" ht="13.8" hidden="false" customHeight="false" outlineLevel="0" collapsed="false">
      <c r="A54" s="354"/>
      <c r="B54" s="355"/>
      <c r="C54" s="355"/>
      <c r="D54" s="356" t="str">
        <f aca="false">+VLOOKUP($A52,BASEdades!$A$3:$AA$283,5,FALSE())</f>
        <v>.</v>
      </c>
      <c r="E54" s="357"/>
      <c r="F54" s="357"/>
      <c r="G54" s="352"/>
      <c r="H54" s="358"/>
    </row>
    <row r="55" s="286" customFormat="true" ht="13.8" hidden="false" customHeight="false" outlineLevel="0" collapsed="false">
      <c r="B55" s="323"/>
      <c r="C55" s="323"/>
      <c r="D55" s="350" t="str">
        <f aca="false">D12</f>
        <v>Retirada de tanca de fusta existent</v>
      </c>
      <c r="E55" s="348" t="n">
        <f aca="false">G12</f>
        <v>36.8</v>
      </c>
      <c r="F55" s="348" t="n">
        <v>0.04</v>
      </c>
      <c r="G55" s="348" t="n">
        <f aca="false">E55*F55</f>
        <v>1.472</v>
      </c>
      <c r="H55" s="344"/>
      <c r="I55" s="345"/>
      <c r="L55" s="0"/>
      <c r="M55" s="0"/>
    </row>
    <row r="56" s="286" customFormat="true" ht="13.8" hidden="false" customHeight="false" outlineLevel="0" collapsed="false">
      <c r="B56" s="323"/>
      <c r="C56" s="323"/>
      <c r="D56" s="350" t="str">
        <f aca="false">D17</f>
        <v>Retirada joc existent</v>
      </c>
      <c r="E56" s="348" t="n">
        <f aca="false">G17</f>
        <v>9</v>
      </c>
      <c r="F56" s="348" t="n">
        <v>1</v>
      </c>
      <c r="G56" s="348" t="n">
        <f aca="false">E56*F56</f>
        <v>9</v>
      </c>
      <c r="H56" s="344"/>
      <c r="I56" s="345"/>
      <c r="L56" s="0"/>
      <c r="M56" s="0"/>
    </row>
    <row r="57" s="286" customFormat="true" ht="13.8" hidden="false" customHeight="false" outlineLevel="0" collapsed="false">
      <c r="B57" s="323"/>
      <c r="C57" s="323"/>
      <c r="D57" s="350" t="str">
        <f aca="false">D22</f>
        <v>Retirada mobiliari existent</v>
      </c>
      <c r="E57" s="348" t="n">
        <f aca="false">G22</f>
        <v>3</v>
      </c>
      <c r="F57" s="348" t="n">
        <v>1</v>
      </c>
      <c r="G57" s="348" t="n">
        <f aca="false">E57*F57</f>
        <v>3</v>
      </c>
      <c r="H57" s="344"/>
      <c r="I57" s="345"/>
      <c r="L57" s="0"/>
      <c r="M57" s="0"/>
    </row>
    <row r="58" s="286" customFormat="true" ht="13.8" hidden="false" customHeight="false" outlineLevel="0" collapsed="false">
      <c r="B58" s="323"/>
      <c r="C58" s="323"/>
      <c r="D58" s="350" t="str">
        <f aca="false">D27</f>
        <v>Demolició de fonamentació de formigó</v>
      </c>
      <c r="E58" s="348" t="n">
        <f aca="false">G27</f>
        <v>0.625</v>
      </c>
      <c r="F58" s="348" t="n">
        <v>1.2</v>
      </c>
      <c r="G58" s="348" t="n">
        <f aca="false">E58*F58</f>
        <v>0.75</v>
      </c>
      <c r="H58" s="344"/>
      <c r="I58" s="345"/>
      <c r="L58" s="0"/>
      <c r="M58" s="0"/>
    </row>
    <row r="59" s="286" customFormat="true" ht="13.8" hidden="false" customHeight="false" outlineLevel="0" collapsed="false">
      <c r="B59" s="323"/>
      <c r="C59" s="323"/>
      <c r="D59" s="350" t="str">
        <f aca="false">D32</f>
        <v>Demolició de graó de formigó</v>
      </c>
      <c r="E59" s="348" t="n">
        <f aca="false">G32</f>
        <v>26</v>
      </c>
      <c r="F59" s="348" t="n">
        <f aca="false">0.3*0.3</f>
        <v>0.09</v>
      </c>
      <c r="G59" s="348" t="n">
        <f aca="false">E59*F59</f>
        <v>2.34</v>
      </c>
      <c r="H59" s="344"/>
      <c r="I59" s="345"/>
      <c r="L59" s="0"/>
      <c r="M59" s="0"/>
    </row>
    <row r="60" s="286" customFormat="true" ht="13.8" hidden="false" customHeight="false" outlineLevel="0" collapsed="false">
      <c r="B60" s="323"/>
      <c r="C60" s="323"/>
      <c r="D60" s="350" t="str">
        <f aca="false">D42</f>
        <v>Rebaix de terreny</v>
      </c>
      <c r="E60" s="348" t="n">
        <f aca="false">G42</f>
        <v>68.4475</v>
      </c>
      <c r="F60" s="348" t="n">
        <v>1.2</v>
      </c>
      <c r="G60" s="348" t="n">
        <f aca="false">E60*F60</f>
        <v>82.137</v>
      </c>
      <c r="H60" s="344"/>
      <c r="I60" s="345"/>
      <c r="L60" s="0"/>
      <c r="M60" s="0"/>
    </row>
    <row r="61" customFormat="false" ht="13.8" hidden="false" customHeight="false" outlineLevel="0" collapsed="false">
      <c r="B61" s="355"/>
      <c r="C61" s="355"/>
      <c r="D61" s="351"/>
      <c r="E61" s="352"/>
      <c r="F61" s="352"/>
      <c r="G61" s="352"/>
      <c r="H61" s="359"/>
      <c r="I61" s="360"/>
    </row>
    <row r="62" s="286" customFormat="true" ht="13.8" hidden="false" customHeight="false" outlineLevel="0" collapsed="false">
      <c r="A62" s="286" t="s">
        <v>20</v>
      </c>
      <c r="B62" s="337" t="s">
        <v>859</v>
      </c>
      <c r="C62" s="337" t="str">
        <f aca="false">+VLOOKUP($A62,BASEdades!$A$3:$AA$283,3,FALSE())</f>
        <v>m3</v>
      </c>
      <c r="D62" s="338" t="str">
        <f aca="false">+VLOOKUP($A62,BASEdades!$A$3:$AA$283,2,FALSE())</f>
        <v>Deposició en dipòsit autoritzat</v>
      </c>
      <c r="E62" s="338"/>
      <c r="F62" s="338"/>
      <c r="G62" s="339" t="n">
        <f aca="false">SUM(G64:G65)</f>
        <v>98.699</v>
      </c>
      <c r="H62" s="340" t="n">
        <f aca="false">+VLOOKUP($A62,BASEdades!$A$3:$AA$283,7,FALSE())</f>
        <v>20.64</v>
      </c>
      <c r="I62" s="340" t="n">
        <f aca="false">G62*H62</f>
        <v>2037.14736</v>
      </c>
      <c r="L62" s="0"/>
      <c r="M62" s="0"/>
    </row>
    <row r="63" s="286" customFormat="true" ht="78.75" hidden="false" customHeight="true" outlineLevel="0" collapsed="false">
      <c r="A63" s="329"/>
      <c r="B63" s="323"/>
      <c r="C63" s="323"/>
      <c r="D63" s="341" t="str">
        <f aca="false">+VLOOKUP($A62,BASEdades!$A$3:$AA$283,4,FALSE())</f>
        <v>Deposició controlada en dipòsit autoritzat inclòs el cànon sobre la deposició controlada dels residus de la construcció, segons la LLEI 8/2008, de residus barrejats no perillosos, procedents de construcció o demolició. Es considera un increment de 30% de l'amidament en concepte d'esponjament.</v>
      </c>
      <c r="E63" s="342"/>
      <c r="F63" s="342"/>
      <c r="G63" s="343"/>
      <c r="H63" s="344"/>
      <c r="I63" s="345"/>
      <c r="L63" s="0"/>
      <c r="M63" s="0"/>
    </row>
    <row r="64" s="286" customFormat="true" ht="13.8" hidden="false" customHeight="false" outlineLevel="0" collapsed="false">
      <c r="B64" s="323"/>
      <c r="C64" s="323"/>
      <c r="D64" s="346" t="str">
        <f aca="false">+VLOOKUP($A62,BASEdades!$A$3:$AA$283,5,FALSE())</f>
        <v>.</v>
      </c>
      <c r="E64" s="347"/>
      <c r="F64" s="347"/>
      <c r="G64" s="348"/>
      <c r="H64" s="349"/>
      <c r="I64" s="304"/>
      <c r="L64" s="0"/>
      <c r="M64" s="0"/>
    </row>
    <row r="65" s="286" customFormat="true" ht="13.8" hidden="false" customHeight="false" outlineLevel="0" collapsed="false">
      <c r="A65" s="329"/>
      <c r="B65" s="323"/>
      <c r="C65" s="323"/>
      <c r="D65" s="350" t="s">
        <v>860</v>
      </c>
      <c r="E65" s="347"/>
      <c r="F65" s="347"/>
      <c r="G65" s="348" t="n">
        <f aca="false">G52</f>
        <v>98.699</v>
      </c>
      <c r="H65" s="344"/>
      <c r="I65" s="345"/>
      <c r="L65" s="0"/>
      <c r="M65" s="0"/>
    </row>
    <row r="66" customFormat="false" ht="13.8" hidden="false" customHeight="false" outlineLevel="0" collapsed="false">
      <c r="A66" s="354"/>
      <c r="B66" s="355"/>
      <c r="C66" s="355"/>
      <c r="D66" s="351"/>
      <c r="E66" s="357"/>
      <c r="F66" s="357"/>
      <c r="G66" s="352"/>
      <c r="H66" s="359"/>
      <c r="I66" s="360"/>
    </row>
    <row r="67" s="286" customFormat="true" ht="13.8" hidden="false" customHeight="false" outlineLevel="0" collapsed="false">
      <c r="B67" s="330" t="s">
        <v>861</v>
      </c>
      <c r="C67" s="331"/>
      <c r="D67" s="332"/>
      <c r="E67" s="333"/>
      <c r="F67" s="333"/>
      <c r="G67" s="334"/>
      <c r="H67" s="335"/>
      <c r="I67" s="336" t="n">
        <f aca="false">SUM(I69:I294)</f>
        <v>70919.951</v>
      </c>
      <c r="L67" s="0"/>
      <c r="M67" s="0"/>
    </row>
    <row r="68" customFormat="false" ht="13.8" hidden="false" customHeight="false" outlineLevel="0" collapsed="false">
      <c r="B68" s="361"/>
      <c r="C68" s="361"/>
      <c r="D68" s="362"/>
      <c r="E68" s="363"/>
      <c r="F68" s="364"/>
      <c r="G68" s="365"/>
      <c r="H68" s="359"/>
      <c r="I68" s="366"/>
    </row>
    <row r="69" s="286" customFormat="true" ht="13.8" hidden="false" customHeight="false" outlineLevel="0" collapsed="false">
      <c r="A69" s="329" t="s">
        <v>274</v>
      </c>
      <c r="B69" s="337" t="s">
        <v>862</v>
      </c>
      <c r="C69" s="337" t="str">
        <f aca="false">+VLOOKUP($A69,BASEdades!$A$3:$AA$283,3,FALSE())</f>
        <v>m2</v>
      </c>
      <c r="D69" s="367" t="str">
        <f aca="false">+VLOOKUP($A69,BASEdades!$A$3:$AA$298,2,FALSE())</f>
        <v>Estructura suport de tarimes bloc de formigó</v>
      </c>
      <c r="E69" s="338"/>
      <c r="F69" s="338"/>
      <c r="G69" s="339" t="n">
        <f aca="false">SUM(G73)</f>
        <v>45.85</v>
      </c>
      <c r="H69" s="340" t="n">
        <f aca="false">+VLOOKUP($A69,BASEdades!$A$3:$AA$283,7,FALSE())</f>
        <v>44.53</v>
      </c>
      <c r="I69" s="340" t="n">
        <f aca="false">G69*H69</f>
        <v>2041.7005</v>
      </c>
      <c r="L69" s="0"/>
      <c r="M69" s="0"/>
    </row>
    <row r="70" s="286" customFormat="true" ht="28.35" hidden="false" customHeight="false" outlineLevel="0" collapsed="false">
      <c r="B70" s="368"/>
      <c r="C70" s="368"/>
      <c r="D70" s="353" t="str">
        <f aca="false">+VLOOKUP($A69,BASEdades!$A$3:$AA$283,4,FALSE())</f>
        <v>Formació  subestructura de suport per a tarimes fins a 50cm amb peus de bloc de formigó massisat. No inclou revestiment.</v>
      </c>
      <c r="E70" s="341"/>
      <c r="F70" s="341"/>
      <c r="G70" s="369"/>
      <c r="H70" s="344"/>
      <c r="I70" s="370"/>
      <c r="L70" s="0"/>
      <c r="M70" s="0"/>
    </row>
    <row r="71" s="286" customFormat="true" ht="14.9" hidden="false" customHeight="false" outlineLevel="0" collapsed="false">
      <c r="B71" s="368"/>
      <c r="C71" s="368"/>
      <c r="D71" s="341" t="str">
        <f aca="false">+VLOOKUP($A69,BASEdades!$A$3:$AA$283,5,FALSE())</f>
        <v>.mides: m2</v>
      </c>
      <c r="E71" s="341"/>
      <c r="F71" s="341"/>
      <c r="G71" s="369"/>
      <c r="H71" s="344"/>
      <c r="I71" s="370"/>
      <c r="L71" s="0"/>
      <c r="M71" s="0"/>
    </row>
    <row r="72" s="286" customFormat="true" ht="14.9" hidden="false" customHeight="false" outlineLevel="0" collapsed="false">
      <c r="B72" s="368"/>
      <c r="C72" s="368"/>
      <c r="D72" s="341" t="str">
        <f aca="false">+VLOOKUP($A69,BASEdades!$A$3:$AA$283,6,FALSE())</f>
        <v>.</v>
      </c>
      <c r="E72" s="341"/>
      <c r="F72" s="341"/>
      <c r="G72" s="369"/>
      <c r="H72" s="344"/>
      <c r="I72" s="370"/>
      <c r="L72" s="0"/>
      <c r="M72" s="0"/>
    </row>
    <row r="73" s="286" customFormat="true" ht="13.8" hidden="false" customHeight="false" outlineLevel="0" collapsed="false">
      <c r="B73" s="368"/>
      <c r="C73" s="368"/>
      <c r="D73" s="350" t="str">
        <f aca="false">D75</f>
        <v>Tarima de fusta de pi</v>
      </c>
      <c r="E73" s="348" t="n">
        <f aca="false">G75</f>
        <v>45.85</v>
      </c>
      <c r="F73" s="371" t="n">
        <v>1</v>
      </c>
      <c r="G73" s="348" t="n">
        <f aca="false">E73*F73</f>
        <v>45.85</v>
      </c>
      <c r="H73" s="344"/>
      <c r="I73" s="370"/>
      <c r="L73" s="0"/>
      <c r="M73" s="0"/>
    </row>
    <row r="74" customFormat="false" ht="13.8" hidden="false" customHeight="false" outlineLevel="0" collapsed="false">
      <c r="B74" s="361"/>
      <c r="C74" s="361"/>
      <c r="D74" s="351"/>
      <c r="E74" s="352"/>
      <c r="F74" s="372"/>
      <c r="G74" s="352"/>
      <c r="H74" s="359"/>
      <c r="I74" s="366"/>
    </row>
    <row r="75" s="286" customFormat="true" ht="13.8" hidden="false" customHeight="false" outlineLevel="0" collapsed="false">
      <c r="A75" s="329" t="s">
        <v>261</v>
      </c>
      <c r="B75" s="337" t="s">
        <v>863</v>
      </c>
      <c r="C75" s="337" t="str">
        <f aca="false">+VLOOKUP($A75,BASEdades!$A$3:$AA$283,3,FALSE())</f>
        <v>m2</v>
      </c>
      <c r="D75" s="367" t="str">
        <f aca="false">+VLOOKUP($A75,BASEdades!$A$3:$AA$298,2,FALSE())</f>
        <v>Tarima de fusta de pi</v>
      </c>
      <c r="E75" s="338"/>
      <c r="F75" s="338"/>
      <c r="G75" s="339" t="n">
        <f aca="false">SUM(G79:G81)</f>
        <v>45.85</v>
      </c>
      <c r="H75" s="340" t="n">
        <f aca="false">+VLOOKUP($A75,BASEdades!$A$3:$AA$283,7,FALSE())</f>
        <v>120</v>
      </c>
      <c r="I75" s="340" t="n">
        <f aca="false">G75*H75</f>
        <v>5502</v>
      </c>
      <c r="L75" s="0"/>
      <c r="M75" s="0"/>
    </row>
    <row r="76" s="286" customFormat="true" ht="62.25" hidden="false" customHeight="true" outlineLevel="0" collapsed="false">
      <c r="B76" s="368"/>
      <c r="C76" s="368"/>
      <c r="D76" s="353" t="str">
        <f aca="false">+VLOOKUP($A75,BASEdades!$A$3:$AA$283,4,FALSE())</f>
        <v>Subministrament i instal·lació de tarima de fusta per a exterior, formada per llistons de fusta massissa de pi tractat a autoclau, fixats mitjançant el sistema de fixació vista, sobre rastrells de fusta de pi, separats 40 cm entre si i fixats a la base existent. </v>
      </c>
      <c r="E76" s="341"/>
      <c r="F76" s="341"/>
      <c r="G76" s="369"/>
      <c r="H76" s="344"/>
      <c r="I76" s="370"/>
      <c r="L76" s="0"/>
      <c r="M76" s="0"/>
    </row>
    <row r="77" s="286" customFormat="true" ht="14.9" hidden="false" customHeight="false" outlineLevel="0" collapsed="false">
      <c r="B77" s="368"/>
      <c r="C77" s="368"/>
      <c r="D77" s="341" t="str">
        <f aca="false">+VLOOKUP($A75,BASEdades!$A$3:$AA$283,5,FALSE())</f>
        <v>.mides: m2</v>
      </c>
      <c r="E77" s="341"/>
      <c r="F77" s="341"/>
      <c r="G77" s="369"/>
      <c r="H77" s="344"/>
      <c r="I77" s="370"/>
      <c r="L77" s="0"/>
      <c r="M77" s="0"/>
    </row>
    <row r="78" s="286" customFormat="true" ht="14.9" hidden="false" customHeight="false" outlineLevel="0" collapsed="false">
      <c r="B78" s="368"/>
      <c r="C78" s="368"/>
      <c r="D78" s="341" t="str">
        <f aca="false">+VLOOKUP($A75,BASEdades!$A$3:$AA$283,6,FALSE())</f>
        <v>.</v>
      </c>
      <c r="E78" s="348"/>
      <c r="F78" s="371"/>
      <c r="G78" s="348"/>
      <c r="H78" s="344"/>
      <c r="I78" s="370"/>
      <c r="L78" s="0"/>
      <c r="M78" s="0"/>
    </row>
    <row r="79" s="286" customFormat="true" ht="13.8" hidden="false" customHeight="false" outlineLevel="0" collapsed="false">
      <c r="B79" s="368"/>
      <c r="C79" s="368"/>
      <c r="D79" s="350" t="s">
        <v>864</v>
      </c>
      <c r="E79" s="348" t="n">
        <f aca="false">1.3+7</f>
        <v>8.3</v>
      </c>
      <c r="F79" s="371" t="n">
        <v>1</v>
      </c>
      <c r="G79" s="348" t="n">
        <f aca="false">E79*F79</f>
        <v>8.3</v>
      </c>
      <c r="H79" s="344"/>
      <c r="I79" s="370"/>
      <c r="L79" s="0"/>
      <c r="M79" s="0"/>
    </row>
    <row r="80" s="286" customFormat="true" ht="13.8" hidden="false" customHeight="false" outlineLevel="0" collapsed="false">
      <c r="B80" s="368"/>
      <c r="C80" s="368"/>
      <c r="D80" s="350" t="s">
        <v>865</v>
      </c>
      <c r="E80" s="348" t="n">
        <v>11.55</v>
      </c>
      <c r="F80" s="371" t="n">
        <v>1</v>
      </c>
      <c r="G80" s="348" t="n">
        <f aca="false">E80*F80</f>
        <v>11.55</v>
      </c>
      <c r="H80" s="344"/>
      <c r="I80" s="370"/>
      <c r="L80" s="0"/>
      <c r="M80" s="0"/>
    </row>
    <row r="81" s="286" customFormat="true" ht="13.8" hidden="false" customHeight="false" outlineLevel="0" collapsed="false">
      <c r="B81" s="368"/>
      <c r="C81" s="368"/>
      <c r="D81" s="350" t="s">
        <v>866</v>
      </c>
      <c r="E81" s="348" t="n">
        <v>26</v>
      </c>
      <c r="F81" s="371" t="n">
        <v>1</v>
      </c>
      <c r="G81" s="348" t="n">
        <f aca="false">E81*F81</f>
        <v>26</v>
      </c>
      <c r="H81" s="344"/>
      <c r="I81" s="370"/>
      <c r="L81" s="0"/>
      <c r="M81" s="0"/>
    </row>
    <row r="82" customFormat="false" ht="13.8" hidden="false" customHeight="false" outlineLevel="0" collapsed="false">
      <c r="B82" s="361"/>
      <c r="C82" s="361"/>
      <c r="D82" s="362"/>
      <c r="E82" s="352"/>
      <c r="F82" s="372"/>
      <c r="G82" s="352"/>
      <c r="H82" s="359"/>
      <c r="I82" s="366"/>
    </row>
    <row r="83" s="286" customFormat="true" ht="13.8" hidden="false" customHeight="false" outlineLevel="0" collapsed="false">
      <c r="A83" s="329" t="s">
        <v>277</v>
      </c>
      <c r="B83" s="337" t="s">
        <v>867</v>
      </c>
      <c r="C83" s="337" t="str">
        <f aca="false">+VLOOKUP($A83,BASEdades!$A$3:$AA$283,3,FALSE())</f>
        <v>m2</v>
      </c>
      <c r="D83" s="367" t="str">
        <f aca="false">+VLOOKUP($A83,BASEdades!$A$3:$AA$298,2,FALSE())</f>
        <v>Estructura suport de tarimes de fusta</v>
      </c>
      <c r="E83" s="338"/>
      <c r="F83" s="338"/>
      <c r="G83" s="339" t="n">
        <f aca="false">SUM(G87:G89)</f>
        <v>45.85</v>
      </c>
      <c r="H83" s="340" t="n">
        <f aca="false">+VLOOKUP($A83,BASEdades!$A$3:$AA$283,7,FALSE())</f>
        <v>69</v>
      </c>
      <c r="I83" s="340" t="n">
        <f aca="false">G83*H83</f>
        <v>3163.65</v>
      </c>
      <c r="L83" s="0"/>
      <c r="M83" s="0"/>
    </row>
    <row r="84" s="286" customFormat="true" ht="28.35" hidden="false" customHeight="false" outlineLevel="0" collapsed="false">
      <c r="B84" s="368"/>
      <c r="C84" s="368"/>
      <c r="D84" s="353" t="str">
        <f aca="false">+VLOOKUP($A83,BASEdades!$A$3:$AA$283,4,FALSE())</f>
        <v>Formació de subestructura de suport per a tarimes amb rastrells de fusta de pi tractat perfil 69x44cm. No inclou revestiment.</v>
      </c>
      <c r="E84" s="341"/>
      <c r="F84" s="341"/>
      <c r="G84" s="369"/>
      <c r="H84" s="344"/>
      <c r="I84" s="370"/>
      <c r="L84" s="0"/>
      <c r="M84" s="0"/>
    </row>
    <row r="85" s="286" customFormat="true" ht="14.9" hidden="false" customHeight="false" outlineLevel="0" collapsed="false">
      <c r="B85" s="368"/>
      <c r="C85" s="368"/>
      <c r="D85" s="341" t="str">
        <f aca="false">+VLOOKUP($A83,BASEdades!$A$3:$AA$283,5,FALSE())</f>
        <v>.mides: m2</v>
      </c>
      <c r="E85" s="341"/>
      <c r="F85" s="341"/>
      <c r="G85" s="369"/>
      <c r="H85" s="344"/>
      <c r="I85" s="370"/>
      <c r="L85" s="0"/>
      <c r="M85" s="0"/>
    </row>
    <row r="86" s="286" customFormat="true" ht="14.9" hidden="false" customHeight="false" outlineLevel="0" collapsed="false">
      <c r="B86" s="368"/>
      <c r="C86" s="368"/>
      <c r="D86" s="341" t="str">
        <f aca="false">+VLOOKUP($A83,BASEdades!$A$3:$AA$283,6,FALSE())</f>
        <v>.</v>
      </c>
      <c r="E86" s="348"/>
      <c r="F86" s="371"/>
      <c r="G86" s="348"/>
      <c r="H86" s="344"/>
      <c r="I86" s="370"/>
      <c r="L86" s="0"/>
      <c r="M86" s="0"/>
    </row>
    <row r="87" s="286" customFormat="true" ht="13.8" hidden="false" customHeight="false" outlineLevel="0" collapsed="false">
      <c r="B87" s="368"/>
      <c r="C87" s="368"/>
      <c r="D87" s="350" t="str">
        <f aca="false">D79</f>
        <v>.zona 1</v>
      </c>
      <c r="E87" s="348" t="n">
        <f aca="false">E79</f>
        <v>8.3</v>
      </c>
      <c r="F87" s="371" t="n">
        <v>1</v>
      </c>
      <c r="G87" s="348" t="n">
        <f aca="false">E87*F87</f>
        <v>8.3</v>
      </c>
      <c r="H87" s="344"/>
      <c r="I87" s="370"/>
      <c r="L87" s="0"/>
      <c r="M87" s="0"/>
    </row>
    <row r="88" s="286" customFormat="true" ht="13.8" hidden="false" customHeight="false" outlineLevel="0" collapsed="false">
      <c r="B88" s="368"/>
      <c r="C88" s="368"/>
      <c r="D88" s="350" t="str">
        <f aca="false">D80</f>
        <v>.zona 2</v>
      </c>
      <c r="E88" s="348" t="n">
        <f aca="false">E80</f>
        <v>11.55</v>
      </c>
      <c r="F88" s="371" t="n">
        <v>1</v>
      </c>
      <c r="G88" s="348" t="n">
        <f aca="false">E88*F88</f>
        <v>11.55</v>
      </c>
      <c r="H88" s="344"/>
      <c r="I88" s="370"/>
      <c r="L88" s="0"/>
      <c r="M88" s="0"/>
    </row>
    <row r="89" s="286" customFormat="true" ht="13.8" hidden="false" customHeight="false" outlineLevel="0" collapsed="false">
      <c r="B89" s="368"/>
      <c r="C89" s="368"/>
      <c r="D89" s="350" t="str">
        <f aca="false">D81</f>
        <v>.zona 3</v>
      </c>
      <c r="E89" s="348" t="n">
        <f aca="false">E81</f>
        <v>26</v>
      </c>
      <c r="F89" s="371" t="n">
        <v>1</v>
      </c>
      <c r="G89" s="348" t="n">
        <f aca="false">E89*F89</f>
        <v>26</v>
      </c>
      <c r="H89" s="344"/>
      <c r="I89" s="370"/>
      <c r="L89" s="0"/>
      <c r="M89" s="0"/>
    </row>
    <row r="90" s="286" customFormat="true" ht="13.8" hidden="false" customHeight="false" outlineLevel="0" collapsed="false">
      <c r="B90" s="368"/>
      <c r="C90" s="368"/>
      <c r="D90" s="350"/>
      <c r="E90" s="348"/>
      <c r="F90" s="371"/>
      <c r="G90" s="348"/>
      <c r="H90" s="344"/>
      <c r="I90" s="370"/>
      <c r="L90" s="0"/>
      <c r="M90" s="0"/>
    </row>
    <row r="91" s="286" customFormat="true" ht="13.8" hidden="false" customHeight="false" outlineLevel="0" collapsed="false">
      <c r="A91" s="329" t="s">
        <v>191</v>
      </c>
      <c r="B91" s="337" t="s">
        <v>868</v>
      </c>
      <c r="C91" s="337" t="str">
        <f aca="false">+VLOOKUP($A91,BASEdades!$A$3:$AA$283,3,FALSE())</f>
        <v>m3</v>
      </c>
      <c r="D91" s="367" t="str">
        <f aca="false">+VLOOKUP($A91,BASEdades!$A$3:$AA$298,2,FALSE())</f>
        <v>Formació de desnivell</v>
      </c>
      <c r="E91" s="338"/>
      <c r="F91" s="338"/>
      <c r="G91" s="339" t="n">
        <f aca="false">SUM(G95:G97)</f>
        <v>13.625</v>
      </c>
      <c r="H91" s="340" t="n">
        <f aca="false">+VLOOKUP($A91,BASEdades!$A$3:$AA$283,7,FALSE())</f>
        <v>88</v>
      </c>
      <c r="I91" s="340" t="n">
        <f aca="false">G91*H91</f>
        <v>1199</v>
      </c>
      <c r="L91" s="0"/>
      <c r="M91" s="0"/>
    </row>
    <row r="92" s="286" customFormat="true" ht="68.65" hidden="false" customHeight="false" outlineLevel="0" collapsed="false">
      <c r="B92" s="368"/>
      <c r="C92" s="368"/>
      <c r="D92" s="353" t="str">
        <f aca="false">+VLOOKUP($A91,BASEdades!$A$3:$AA$283,4,FALSE())</f>
        <v>Formació de desnivell amb terra barrejada amb una proporció aproximada de 45% argila, 45% sauló i un 10% de matèria orgànica per facilitar la plantació de vegetació  (no inclou gespa ni plantes). Subministrament en big bags i estesa amb mitjans manuals i mecànics.</v>
      </c>
      <c r="E92" s="341"/>
      <c r="F92" s="341"/>
      <c r="G92" s="369"/>
      <c r="H92" s="344"/>
      <c r="I92" s="370"/>
      <c r="L92" s="0"/>
      <c r="M92" s="0"/>
    </row>
    <row r="93" s="286" customFormat="true" ht="14.9" hidden="false" customHeight="false" outlineLevel="0" collapsed="false">
      <c r="B93" s="368"/>
      <c r="C93" s="368"/>
      <c r="D93" s="341" t="str">
        <f aca="false">+VLOOKUP($A91,BASEdades!$A$3:$AA$283,5,FALSE())</f>
        <v>.mides: m3</v>
      </c>
      <c r="E93" s="341"/>
      <c r="F93" s="341"/>
      <c r="G93" s="369"/>
      <c r="H93" s="344"/>
      <c r="I93" s="370"/>
      <c r="L93" s="0"/>
      <c r="M93" s="0"/>
    </row>
    <row r="94" s="286" customFormat="true" ht="14.9" hidden="false" customHeight="false" outlineLevel="0" collapsed="false">
      <c r="B94" s="368"/>
      <c r="C94" s="368"/>
      <c r="D94" s="341" t="str">
        <f aca="false">+VLOOKUP($A91,BASEdades!$A$3:$AA$283,6,FALSE())</f>
        <v>.</v>
      </c>
      <c r="E94" s="341"/>
      <c r="F94" s="341"/>
      <c r="G94" s="369"/>
      <c r="H94" s="344"/>
      <c r="I94" s="370"/>
      <c r="L94" s="0"/>
      <c r="M94" s="0"/>
    </row>
    <row r="95" s="286" customFormat="true" ht="13.8" hidden="false" customHeight="false" outlineLevel="0" collapsed="false">
      <c r="B95" s="368"/>
      <c r="C95" s="368"/>
      <c r="D95" s="350" t="s">
        <v>869</v>
      </c>
      <c r="E95" s="348" t="n">
        <v>10</v>
      </c>
      <c r="F95" s="371" t="n">
        <v>0.15</v>
      </c>
      <c r="G95" s="348" t="n">
        <f aca="false">E95*F95</f>
        <v>1.5</v>
      </c>
      <c r="H95" s="344"/>
      <c r="I95" s="370"/>
      <c r="L95" s="0"/>
      <c r="M95" s="0"/>
    </row>
    <row r="96" s="286" customFormat="true" ht="13.8" hidden="false" customHeight="false" outlineLevel="0" collapsed="false">
      <c r="B96" s="368"/>
      <c r="C96" s="368"/>
      <c r="D96" s="350" t="s">
        <v>870</v>
      </c>
      <c r="E96" s="348" t="n">
        <f aca="false">10.8+5+5</f>
        <v>20.8</v>
      </c>
      <c r="F96" s="371" t="n">
        <v>0.2</v>
      </c>
      <c r="G96" s="348" t="n">
        <f aca="false">E96*F96</f>
        <v>4.16</v>
      </c>
      <c r="H96" s="344"/>
      <c r="I96" s="370"/>
      <c r="L96" s="0"/>
      <c r="M96" s="0"/>
    </row>
    <row r="97" s="286" customFormat="true" ht="13.8" hidden="false" customHeight="false" outlineLevel="0" collapsed="false">
      <c r="B97" s="368"/>
      <c r="C97" s="368"/>
      <c r="D97" s="350" t="s">
        <v>871</v>
      </c>
      <c r="E97" s="348" t="n">
        <v>17.7</v>
      </c>
      <c r="F97" s="371" t="n">
        <v>0.45</v>
      </c>
      <c r="G97" s="348" t="n">
        <f aca="false">E97*F97</f>
        <v>7.965</v>
      </c>
      <c r="H97" s="344"/>
      <c r="I97" s="370"/>
      <c r="L97" s="0"/>
      <c r="M97" s="0"/>
    </row>
    <row r="98" customFormat="false" ht="13.8" hidden="false" customHeight="false" outlineLevel="0" collapsed="false">
      <c r="B98" s="361"/>
      <c r="C98" s="361"/>
      <c r="D98" s="351"/>
      <c r="E98" s="352"/>
      <c r="F98" s="372"/>
      <c r="G98" s="352"/>
      <c r="H98" s="359"/>
      <c r="I98" s="366"/>
    </row>
    <row r="99" s="286" customFormat="true" ht="13.8" hidden="false" customHeight="false" outlineLevel="0" collapsed="false">
      <c r="A99" s="329" t="s">
        <v>239</v>
      </c>
      <c r="B99" s="337" t="s">
        <v>872</v>
      </c>
      <c r="C99" s="337" t="str">
        <f aca="false">+VLOOKUP($A99,BASEdades!$A$3:$AA$283,3,FALSE())</f>
        <v>m</v>
      </c>
      <c r="D99" s="367" t="str">
        <f aca="false">+VLOOKUP($A99,BASEdades!$A$3:$AA$298,2,FALSE())</f>
        <v>Travesses de pi tractades per exterior</v>
      </c>
      <c r="E99" s="338"/>
      <c r="F99" s="338"/>
      <c r="G99" s="339" t="n">
        <f aca="false">SUM(G103:G122)</f>
        <v>427.55</v>
      </c>
      <c r="H99" s="340" t="n">
        <f aca="false">+VLOOKUP($A99,BASEdades!$A$3:$AA$283,7,FALSE())</f>
        <v>43.29</v>
      </c>
      <c r="I99" s="340" t="n">
        <f aca="false">G99*H99</f>
        <v>18508.6395</v>
      </c>
      <c r="L99" s="0"/>
      <c r="M99" s="0"/>
    </row>
    <row r="100" s="286" customFormat="true" ht="92.25" hidden="false" customHeight="true" outlineLevel="0" collapsed="false">
      <c r="B100" s="368"/>
      <c r="C100" s="368"/>
      <c r="D100" s="353" t="str">
        <f aca="false">+VLOOKUP($A99,BASEdades!$A$3:$AA$283,4,FALSE())</f>
        <v>Subministrament i instal·lació de travessa de pi amb els cantos fresats, amb tractament autoclau amb cobertura d'ús 4 segons norma EN-335 de 250x20x10 cm, col·locada horitzontalment sobre el terreny. Inclou p/p de replanteig, excavació manual del terreny, selecció i tall de travesses, replé i compactació del terreny contigu i eliminació i neteja del material sobrant.</v>
      </c>
      <c r="E100" s="341"/>
      <c r="F100" s="341"/>
      <c r="G100" s="369"/>
      <c r="H100" s="344"/>
      <c r="I100" s="370"/>
      <c r="L100" s="0"/>
      <c r="M100" s="0"/>
    </row>
    <row r="101" s="286" customFormat="true" ht="14.9" hidden="false" customHeight="false" outlineLevel="0" collapsed="false">
      <c r="B101" s="368"/>
      <c r="C101" s="368"/>
      <c r="D101" s="341" t="str">
        <f aca="false">+VLOOKUP($A99,BASEdades!$A$3:$AA$283,5,FALSE())</f>
        <v>.mides travessa: 250x20x10cm</v>
      </c>
      <c r="E101" s="341"/>
      <c r="F101" s="341"/>
      <c r="G101" s="369"/>
      <c r="H101" s="344"/>
      <c r="I101" s="370"/>
      <c r="L101" s="0"/>
      <c r="M101" s="0"/>
    </row>
    <row r="102" s="286" customFormat="true" ht="14.9" hidden="false" customHeight="false" outlineLevel="0" collapsed="false">
      <c r="B102" s="368"/>
      <c r="C102" s="368"/>
      <c r="D102" s="341" t="str">
        <f aca="false">+VLOOKUP($A99,BASEdades!$A$3:$AA$283,6,FALSE())</f>
        <v>.</v>
      </c>
      <c r="E102" s="341"/>
      <c r="F102" s="341"/>
      <c r="G102" s="369"/>
      <c r="H102" s="344"/>
      <c r="I102" s="370"/>
      <c r="L102" s="0"/>
      <c r="M102" s="0"/>
    </row>
    <row r="103" customFormat="false" ht="13.8" hidden="false" customHeight="false" outlineLevel="0" collapsed="false">
      <c r="B103" s="361"/>
      <c r="C103" s="361"/>
      <c r="D103" s="350" t="s">
        <v>873</v>
      </c>
      <c r="E103" s="348" t="n">
        <v>5</v>
      </c>
      <c r="F103" s="371" t="n">
        <v>2.5</v>
      </c>
      <c r="G103" s="348" t="n">
        <f aca="false">E103*F103</f>
        <v>12.5</v>
      </c>
      <c r="H103" s="359"/>
      <c r="I103" s="366"/>
    </row>
    <row r="104" s="286" customFormat="true" ht="13.8" hidden="false" customHeight="false" outlineLevel="0" collapsed="false">
      <c r="B104" s="368"/>
      <c r="C104" s="368"/>
      <c r="D104" s="350" t="s">
        <v>874</v>
      </c>
      <c r="E104" s="348" t="n">
        <f aca="false">10.8+5</f>
        <v>15.8</v>
      </c>
      <c r="F104" s="371" t="n">
        <v>1</v>
      </c>
      <c r="G104" s="348" t="n">
        <f aca="false">E104*F104</f>
        <v>15.8</v>
      </c>
      <c r="H104" s="344"/>
      <c r="I104" s="370"/>
      <c r="L104" s="0"/>
      <c r="M104" s="0"/>
    </row>
    <row r="105" s="286" customFormat="true" ht="13.8" hidden="false" customHeight="false" outlineLevel="0" collapsed="false">
      <c r="B105" s="368"/>
      <c r="C105" s="368"/>
      <c r="D105" s="350" t="s">
        <v>875</v>
      </c>
      <c r="E105" s="348" t="n">
        <v>8</v>
      </c>
      <c r="F105" s="371" t="n">
        <v>2.5</v>
      </c>
      <c r="G105" s="348" t="n">
        <f aca="false">E105*F105</f>
        <v>20</v>
      </c>
      <c r="H105" s="344"/>
      <c r="I105" s="370"/>
      <c r="L105" s="0"/>
      <c r="M105" s="0"/>
    </row>
    <row r="106" s="286" customFormat="true" ht="13.8" hidden="false" customHeight="false" outlineLevel="0" collapsed="false">
      <c r="B106" s="368"/>
      <c r="C106" s="368"/>
      <c r="D106" s="350" t="s">
        <v>876</v>
      </c>
      <c r="E106" s="348" t="n">
        <v>7.5</v>
      </c>
      <c r="F106" s="371" t="n">
        <v>4</v>
      </c>
      <c r="G106" s="348" t="n">
        <f aca="false">E106*F106</f>
        <v>30</v>
      </c>
      <c r="H106" s="344"/>
      <c r="I106" s="370"/>
      <c r="L106" s="0"/>
      <c r="M106" s="0"/>
    </row>
    <row r="107" s="286" customFormat="true" ht="13.8" hidden="false" customHeight="false" outlineLevel="0" collapsed="false">
      <c r="B107" s="368"/>
      <c r="C107" s="368"/>
      <c r="D107" s="350" t="s">
        <v>877</v>
      </c>
      <c r="E107" s="348" t="n">
        <v>16.6</v>
      </c>
      <c r="F107" s="371" t="n">
        <v>1</v>
      </c>
      <c r="G107" s="348" t="n">
        <f aca="false">E107*F107</f>
        <v>16.6</v>
      </c>
      <c r="H107" s="344"/>
      <c r="I107" s="370"/>
      <c r="L107" s="0"/>
      <c r="M107" s="0"/>
    </row>
    <row r="108" s="286" customFormat="true" ht="13.8" hidden="false" customHeight="false" outlineLevel="0" collapsed="false">
      <c r="B108" s="368"/>
      <c r="C108" s="368"/>
      <c r="D108" s="350" t="s">
        <v>878</v>
      </c>
      <c r="E108" s="348" t="n">
        <v>7.5</v>
      </c>
      <c r="F108" s="371" t="n">
        <v>3</v>
      </c>
      <c r="G108" s="348" t="n">
        <f aca="false">E108*F108</f>
        <v>22.5</v>
      </c>
      <c r="H108" s="344"/>
      <c r="I108" s="370"/>
      <c r="L108" s="0"/>
      <c r="M108" s="0"/>
    </row>
    <row r="109" customFormat="false" ht="13.8" hidden="false" customHeight="false" outlineLevel="0" collapsed="false">
      <c r="B109" s="361"/>
      <c r="C109" s="361"/>
      <c r="D109" s="350" t="s">
        <v>879</v>
      </c>
      <c r="E109" s="348" t="n">
        <v>8</v>
      </c>
      <c r="F109" s="371" t="n">
        <v>2.5</v>
      </c>
      <c r="G109" s="348" t="n">
        <f aca="false">E109*F109</f>
        <v>20</v>
      </c>
      <c r="H109" s="359"/>
      <c r="I109" s="366"/>
    </row>
    <row r="110" s="286" customFormat="true" ht="13.8" hidden="false" customHeight="false" outlineLevel="0" collapsed="false">
      <c r="B110" s="368"/>
      <c r="C110" s="368"/>
      <c r="D110" s="350" t="s">
        <v>880</v>
      </c>
      <c r="E110" s="348" t="n">
        <f aca="false">(5.3*3)+2</f>
        <v>17.9</v>
      </c>
      <c r="F110" s="371" t="n">
        <v>1</v>
      </c>
      <c r="G110" s="348" t="n">
        <f aca="false">E110*F110</f>
        <v>17.9</v>
      </c>
      <c r="H110" s="344"/>
      <c r="I110" s="370"/>
      <c r="L110" s="0"/>
      <c r="M110" s="0"/>
    </row>
    <row r="111" s="286" customFormat="true" ht="13.8" hidden="false" customHeight="false" outlineLevel="0" collapsed="false">
      <c r="B111" s="368"/>
      <c r="C111" s="368"/>
      <c r="D111" s="350" t="s">
        <v>881</v>
      </c>
      <c r="E111" s="348" t="n">
        <v>7</v>
      </c>
      <c r="F111" s="371" t="n">
        <v>1</v>
      </c>
      <c r="G111" s="348" t="n">
        <f aca="false">E111*F111</f>
        <v>7</v>
      </c>
      <c r="H111" s="344"/>
      <c r="I111" s="370"/>
      <c r="L111" s="0"/>
      <c r="M111" s="0"/>
    </row>
    <row r="112" customFormat="false" ht="13.8" hidden="false" customHeight="false" outlineLevel="0" collapsed="false">
      <c r="B112" s="361"/>
      <c r="C112" s="361"/>
      <c r="D112" s="350" t="s">
        <v>878</v>
      </c>
      <c r="E112" s="348" t="n">
        <v>2</v>
      </c>
      <c r="F112" s="371" t="n">
        <v>3</v>
      </c>
      <c r="G112" s="348" t="n">
        <f aca="false">E112*F112</f>
        <v>6</v>
      </c>
      <c r="H112" s="359"/>
      <c r="I112" s="366"/>
    </row>
    <row r="113" customFormat="false" ht="13.8" hidden="false" customHeight="false" outlineLevel="0" collapsed="false">
      <c r="B113" s="361"/>
      <c r="C113" s="361"/>
      <c r="D113" s="350" t="s">
        <v>882</v>
      </c>
      <c r="E113" s="348" t="n">
        <v>8</v>
      </c>
      <c r="F113" s="371" t="n">
        <v>2.5</v>
      </c>
      <c r="G113" s="348" t="n">
        <f aca="false">E113*F113</f>
        <v>20</v>
      </c>
      <c r="H113" s="359"/>
      <c r="I113" s="366"/>
    </row>
    <row r="114" customFormat="false" ht="13.8" hidden="false" customHeight="false" outlineLevel="0" collapsed="false">
      <c r="B114" s="361"/>
      <c r="C114" s="361"/>
      <c r="D114" s="350" t="s">
        <v>883</v>
      </c>
      <c r="E114" s="348" t="n">
        <v>8</v>
      </c>
      <c r="F114" s="371" t="n">
        <v>2.5</v>
      </c>
      <c r="G114" s="348" t="n">
        <f aca="false">E114*F114</f>
        <v>20</v>
      </c>
      <c r="H114" s="359"/>
      <c r="I114" s="366"/>
    </row>
    <row r="115" customFormat="false" ht="13.8" hidden="false" customHeight="false" outlineLevel="0" collapsed="false">
      <c r="B115" s="361"/>
      <c r="C115" s="361"/>
      <c r="D115" s="350" t="s">
        <v>884</v>
      </c>
      <c r="E115" s="348" t="n">
        <f aca="false">17*2.5</f>
        <v>42.5</v>
      </c>
      <c r="F115" s="371" t="n">
        <v>1</v>
      </c>
      <c r="G115" s="348" t="n">
        <f aca="false">E115*F115</f>
        <v>42.5</v>
      </c>
      <c r="H115" s="359"/>
      <c r="I115" s="366"/>
    </row>
    <row r="116" s="286" customFormat="true" ht="13.8" hidden="false" customHeight="false" outlineLevel="0" collapsed="false">
      <c r="B116" s="368"/>
      <c r="C116" s="368"/>
      <c r="D116" s="350" t="s">
        <v>885</v>
      </c>
      <c r="E116" s="348" t="n">
        <v>3</v>
      </c>
      <c r="F116" s="371" t="n">
        <v>1</v>
      </c>
      <c r="G116" s="348" t="n">
        <f aca="false">E116*F116</f>
        <v>3</v>
      </c>
      <c r="H116" s="344"/>
      <c r="I116" s="370"/>
      <c r="L116" s="0"/>
      <c r="M116" s="0"/>
    </row>
    <row r="117" s="286" customFormat="true" ht="13.8" hidden="false" customHeight="false" outlineLevel="0" collapsed="false">
      <c r="B117" s="368"/>
      <c r="C117" s="368"/>
      <c r="D117" s="350" t="s">
        <v>886</v>
      </c>
      <c r="E117" s="348" t="n">
        <v>2.5</v>
      </c>
      <c r="F117" s="371" t="n">
        <v>3.5</v>
      </c>
      <c r="G117" s="348" t="n">
        <f aca="false">E117*F117</f>
        <v>8.75</v>
      </c>
      <c r="H117" s="344"/>
      <c r="I117" s="370"/>
      <c r="L117" s="0"/>
      <c r="M117" s="0"/>
    </row>
    <row r="118" s="286" customFormat="true" ht="13.8" hidden="false" customHeight="false" outlineLevel="0" collapsed="false">
      <c r="B118" s="368"/>
      <c r="C118" s="368"/>
      <c r="D118" s="350" t="s">
        <v>887</v>
      </c>
      <c r="E118" s="348" t="n">
        <v>32</v>
      </c>
      <c r="F118" s="371" t="n">
        <v>2.5</v>
      </c>
      <c r="G118" s="348" t="n">
        <f aca="false">E118*F118</f>
        <v>80</v>
      </c>
      <c r="H118" s="344"/>
      <c r="I118" s="370"/>
      <c r="L118" s="0"/>
      <c r="M118" s="0"/>
    </row>
    <row r="119" s="286" customFormat="true" ht="13.8" hidden="false" customHeight="false" outlineLevel="0" collapsed="false">
      <c r="B119" s="368"/>
      <c r="C119" s="368"/>
      <c r="D119" s="350" t="s">
        <v>888</v>
      </c>
      <c r="E119" s="348" t="n">
        <v>12</v>
      </c>
      <c r="F119" s="371" t="n">
        <v>2.5</v>
      </c>
      <c r="G119" s="348" t="n">
        <f aca="false">E119*F119</f>
        <v>30</v>
      </c>
      <c r="H119" s="344"/>
      <c r="I119" s="370"/>
      <c r="L119" s="0"/>
      <c r="M119" s="0"/>
    </row>
    <row r="120" s="286" customFormat="true" ht="13.8" hidden="false" customHeight="false" outlineLevel="0" collapsed="false">
      <c r="B120" s="368"/>
      <c r="C120" s="368"/>
      <c r="D120" s="350" t="s">
        <v>871</v>
      </c>
      <c r="E120" s="348" t="n">
        <v>3</v>
      </c>
      <c r="F120" s="371" t="n">
        <v>2.5</v>
      </c>
      <c r="G120" s="348" t="n">
        <f aca="false">E120*F120</f>
        <v>7.5</v>
      </c>
      <c r="H120" s="344"/>
      <c r="I120" s="370"/>
      <c r="L120" s="0"/>
      <c r="M120" s="0"/>
    </row>
    <row r="121" s="286" customFormat="true" ht="13.8" hidden="false" customHeight="false" outlineLevel="0" collapsed="false">
      <c r="B121" s="368"/>
      <c r="C121" s="368"/>
      <c r="D121" s="350" t="s">
        <v>889</v>
      </c>
      <c r="E121" s="348" t="n">
        <f aca="false">10+(7*2.5)+(4*2.5)+10</f>
        <v>47.5</v>
      </c>
      <c r="F121" s="371" t="n">
        <v>1</v>
      </c>
      <c r="G121" s="348" t="n">
        <f aca="false">E121*F121</f>
        <v>47.5</v>
      </c>
      <c r="H121" s="344"/>
      <c r="I121" s="370"/>
      <c r="L121" s="0"/>
      <c r="M121" s="0"/>
    </row>
    <row r="122" customFormat="false" ht="13.8" hidden="false" customHeight="false" outlineLevel="0" collapsed="false">
      <c r="B122" s="361"/>
      <c r="C122" s="361"/>
      <c r="D122" s="373"/>
      <c r="E122" s="352"/>
      <c r="F122" s="372"/>
      <c r="G122" s="352"/>
      <c r="H122" s="359"/>
      <c r="I122" s="366"/>
    </row>
    <row r="123" customFormat="false" ht="13.8" hidden="false" customHeight="false" outlineLevel="0" collapsed="false">
      <c r="A123" s="329" t="s">
        <v>708</v>
      </c>
      <c r="B123" s="337" t="s">
        <v>890</v>
      </c>
      <c r="C123" s="337" t="str">
        <f aca="false">+VLOOKUP($A123,BASEdades!$A$3:$AA$283,3,FALSE())</f>
        <v>ut</v>
      </c>
      <c r="D123" s="367" t="str">
        <f aca="false">+VLOOKUP($A123,BASEdades!$A$3:$AA$298,2,FALSE())</f>
        <v>Porta de separació </v>
      </c>
      <c r="E123" s="338"/>
      <c r="F123" s="338"/>
      <c r="G123" s="339" t="n">
        <f aca="false">G127</f>
        <v>8</v>
      </c>
      <c r="H123" s="340" t="n">
        <f aca="false">+VLOOKUP($A123,BASEdades!$A$3:$AA$283,7,FALSE())</f>
        <v>616.18</v>
      </c>
      <c r="I123" s="340" t="n">
        <f aca="false">G123*H123</f>
        <v>4929.44</v>
      </c>
    </row>
    <row r="124" customFormat="false" ht="82.05" hidden="false" customHeight="false" outlineLevel="0" collapsed="false">
      <c r="A124" s="286"/>
      <c r="B124" s="368"/>
      <c r="C124" s="368"/>
      <c r="D124" s="353" t="str">
        <f aca="false">+VLOOKUP($A123,BASEdades!$A$3:$AA$283,4,FALSE())</f>
        <v>Subministrament i col.locació de porta batent de panel fenòlic (WBP) de mides 60x67cm i Gruix 18mm, amb forats decoratius fixada a 2 muntants laterals de fusta de pi tractat amb autoclau de secció quadrada 7x7cm, de  65cm d'alt acabat i 85cm de separació entre muntants. Inclou les fixacions metàl.liques i muntatge.</v>
      </c>
      <c r="E124" s="341"/>
      <c r="F124" s="341"/>
      <c r="G124" s="369"/>
      <c r="H124" s="344"/>
      <c r="I124" s="370"/>
    </row>
    <row r="125" customFormat="false" ht="14.9" hidden="false" customHeight="false" outlineLevel="0" collapsed="false">
      <c r="A125" s="286"/>
      <c r="B125" s="368"/>
      <c r="C125" s="368"/>
      <c r="D125" s="341" t="str">
        <f aca="false">+VLOOKUP($A123,BASEdades!$A$3:$AA$283,5,FALSE())</f>
        <v>.segons disseny</v>
      </c>
      <c r="E125" s="341"/>
      <c r="F125" s="341"/>
      <c r="G125" s="369"/>
      <c r="H125" s="344"/>
      <c r="I125" s="370"/>
    </row>
    <row r="126" customFormat="false" ht="14.9" hidden="false" customHeight="false" outlineLevel="0" collapsed="false">
      <c r="A126" s="286"/>
      <c r="B126" s="368"/>
      <c r="C126" s="368"/>
      <c r="D126" s="341" t="str">
        <f aca="false">+VLOOKUP($A123,BASEdades!$A$3:$AA$283,6,FALSE())</f>
        <v>.</v>
      </c>
      <c r="E126" s="348"/>
      <c r="F126" s="371"/>
      <c r="G126" s="348"/>
      <c r="H126" s="344"/>
      <c r="I126" s="370"/>
    </row>
    <row r="127" customFormat="false" ht="13.8" hidden="false" customHeight="false" outlineLevel="0" collapsed="false">
      <c r="A127" s="286"/>
      <c r="B127" s="368"/>
      <c r="C127" s="368"/>
      <c r="D127" s="350" t="s">
        <v>891</v>
      </c>
      <c r="E127" s="348"/>
      <c r="F127" s="371"/>
      <c r="G127" s="348" t="n">
        <v>8</v>
      </c>
      <c r="H127" s="344"/>
      <c r="I127" s="370"/>
    </row>
    <row r="128" customFormat="false" ht="13.8" hidden="false" customHeight="false" outlineLevel="0" collapsed="false">
      <c r="B128" s="361"/>
      <c r="C128" s="361"/>
      <c r="D128" s="351"/>
      <c r="E128" s="352"/>
      <c r="F128" s="372"/>
      <c r="G128" s="352"/>
      <c r="H128" s="359"/>
      <c r="I128" s="366"/>
    </row>
    <row r="129" s="286" customFormat="true" ht="13.8" hidden="false" customHeight="false" outlineLevel="0" collapsed="false">
      <c r="A129" s="329" t="s">
        <v>892</v>
      </c>
      <c r="B129" s="337" t="s">
        <v>893</v>
      </c>
      <c r="C129" s="337" t="str">
        <f aca="false">+VLOOKUP($A129,BASEdades!$A$3:$AA$283,3,FALSE())</f>
        <v>ut</v>
      </c>
      <c r="D129" s="367" t="str">
        <f aca="false">+VLOOKUP($A129,BASEdades!$A$3:$AA$298,2,FALSE())</f>
        <v>Tronc escala</v>
      </c>
      <c r="E129" s="338"/>
      <c r="F129" s="338"/>
      <c r="G129" s="339" t="n">
        <f aca="false">G133</f>
        <v>1</v>
      </c>
      <c r="H129" s="340" t="n">
        <f aca="false">+VLOOKUP($A129,BASEdades!$A$3:$AA$283,7,FALSE())</f>
        <v>320</v>
      </c>
      <c r="I129" s="340" t="n">
        <f aca="false">G129*H129</f>
        <v>320</v>
      </c>
      <c r="L129" s="0"/>
      <c r="M129" s="0"/>
    </row>
    <row r="130" s="286" customFormat="true" ht="14.9" hidden="false" customHeight="false" outlineLevel="0" collapsed="false">
      <c r="B130" s="368"/>
      <c r="C130" s="368"/>
      <c r="D130" s="353" t="str">
        <f aca="false">+VLOOKUP($A129,BASEdades!$A$3:$AA$283,4,FALSE())</f>
        <v>Subministrament i instal.lació de tronc tallat amb graons.</v>
      </c>
      <c r="E130" s="341"/>
      <c r="F130" s="341"/>
      <c r="G130" s="369"/>
      <c r="H130" s="344"/>
      <c r="I130" s="370"/>
      <c r="L130" s="0"/>
      <c r="M130" s="0"/>
    </row>
    <row r="131" s="286" customFormat="true" ht="14.9" hidden="false" customHeight="false" outlineLevel="0" collapsed="false">
      <c r="B131" s="368"/>
      <c r="C131" s="368"/>
      <c r="D131" s="341" t="str">
        <f aca="false">+VLOOKUP($A129,BASEdades!$A$3:$AA$283,5,FALSE())</f>
        <v>.mides: Diàmetre 200cm Altura 240cm</v>
      </c>
      <c r="E131" s="341"/>
      <c r="F131" s="341"/>
      <c r="G131" s="369"/>
      <c r="H131" s="344"/>
      <c r="I131" s="370"/>
      <c r="L131" s="0"/>
      <c r="M131" s="0"/>
    </row>
    <row r="132" s="286" customFormat="true" ht="14.9" hidden="false" customHeight="false" outlineLevel="0" collapsed="false">
      <c r="B132" s="368"/>
      <c r="C132" s="368"/>
      <c r="D132" s="341" t="str">
        <f aca="false">+VLOOKUP($A129,BASEdades!$A$3:$AA$283,6,FALSE())</f>
        <v>.</v>
      </c>
      <c r="E132" s="348"/>
      <c r="F132" s="371"/>
      <c r="G132" s="348"/>
      <c r="H132" s="344"/>
      <c r="I132" s="370"/>
      <c r="L132" s="0"/>
      <c r="M132" s="0"/>
    </row>
    <row r="133" s="286" customFormat="true" ht="13.8" hidden="false" customHeight="false" outlineLevel="0" collapsed="false">
      <c r="B133" s="368"/>
      <c r="C133" s="368"/>
      <c r="D133" s="350" t="s">
        <v>871</v>
      </c>
      <c r="E133" s="348"/>
      <c r="F133" s="371"/>
      <c r="G133" s="348" t="n">
        <v>1</v>
      </c>
      <c r="H133" s="344"/>
      <c r="I133" s="370"/>
      <c r="L133" s="0"/>
      <c r="M133" s="0"/>
    </row>
    <row r="134" customFormat="false" ht="13.8" hidden="false" customHeight="false" outlineLevel="0" collapsed="false">
      <c r="B134" s="361"/>
      <c r="C134" s="361"/>
      <c r="D134" s="351"/>
      <c r="E134" s="352"/>
      <c r="F134" s="372"/>
      <c r="G134" s="352"/>
      <c r="H134" s="359"/>
      <c r="I134" s="366"/>
    </row>
    <row r="135" s="286" customFormat="true" ht="13.8" hidden="false" customHeight="false" outlineLevel="0" collapsed="false">
      <c r="A135" s="329" t="s">
        <v>565</v>
      </c>
      <c r="B135" s="337" t="s">
        <v>894</v>
      </c>
      <c r="C135" s="337" t="str">
        <f aca="false">+VLOOKUP($A135,BASEdades!$A$3:$AA$283,3,FALSE())</f>
        <v>ut</v>
      </c>
      <c r="D135" s="367" t="str">
        <f aca="false">+VLOOKUP($A135,BASEdades!$A$3:$AA$298,2,FALSE())</f>
        <v>Tobogan de polimer H90</v>
      </c>
      <c r="E135" s="338"/>
      <c r="F135" s="338"/>
      <c r="G135" s="339" t="n">
        <f aca="false">G139</f>
        <v>1</v>
      </c>
      <c r="H135" s="340" t="n">
        <f aca="false">+VLOOKUP($A135,BASEdades!$A$3:$AA$283,7,FALSE())</f>
        <v>748</v>
      </c>
      <c r="I135" s="340" t="n">
        <f aca="false">G135*H135</f>
        <v>748</v>
      </c>
      <c r="L135" s="0"/>
      <c r="M135" s="0"/>
    </row>
    <row r="136" s="286" customFormat="true" ht="41.75" hidden="false" customHeight="false" outlineLevel="0" collapsed="false">
      <c r="B136" s="368"/>
      <c r="C136" s="368"/>
      <c r="D136" s="353" t="str">
        <f aca="false">+VLOOKUP($A135,BASEdades!$A$3:$AA$283,4,FALSE())</f>
        <v>Subministrament i col.locació de tobogan de polimer, moldejat segons rotomoldeo, d'alçada 90cm i amplària 66cm. Color taronja RAL 2010, 100% reciclat</v>
      </c>
      <c r="E136" s="341"/>
      <c r="F136" s="341"/>
      <c r="G136" s="369"/>
      <c r="H136" s="344"/>
      <c r="I136" s="370"/>
      <c r="L136" s="0"/>
      <c r="M136" s="0"/>
    </row>
    <row r="137" s="286" customFormat="true" ht="14.9" hidden="false" customHeight="false" outlineLevel="0" collapsed="false">
      <c r="B137" s="368"/>
      <c r="C137" s="368"/>
      <c r="D137" s="341" t="str">
        <f aca="false">+VLOOKUP($A135,BASEdades!$A$3:$AA$283,5,FALSE())</f>
        <v>.Mides del joc: alçada 90cm i 66cm amplada</v>
      </c>
      <c r="E137" s="341"/>
      <c r="F137" s="341"/>
      <c r="G137" s="369"/>
      <c r="H137" s="344"/>
      <c r="I137" s="370"/>
      <c r="L137" s="0"/>
      <c r="M137" s="0"/>
    </row>
    <row r="138" s="286" customFormat="true" ht="14.9" hidden="false" customHeight="false" outlineLevel="0" collapsed="false">
      <c r="B138" s="368"/>
      <c r="C138" s="368"/>
      <c r="D138" s="341" t="str">
        <f aca="false">+VLOOKUP($A135,BASEdades!$A$3:$AA$283,6,FALSE())</f>
        <v>.</v>
      </c>
      <c r="E138" s="348"/>
      <c r="F138" s="371"/>
      <c r="G138" s="348"/>
      <c r="H138" s="344"/>
      <c r="I138" s="370"/>
      <c r="L138" s="0"/>
      <c r="M138" s="0"/>
    </row>
    <row r="139" s="286" customFormat="true" ht="13.8" hidden="false" customHeight="false" outlineLevel="0" collapsed="false">
      <c r="B139" s="368"/>
      <c r="C139" s="368"/>
      <c r="D139" s="350" t="s">
        <v>871</v>
      </c>
      <c r="E139" s="348"/>
      <c r="F139" s="371"/>
      <c r="G139" s="348" t="n">
        <v>1</v>
      </c>
      <c r="H139" s="344"/>
      <c r="I139" s="370"/>
      <c r="L139" s="0"/>
      <c r="M139" s="0"/>
    </row>
    <row r="140" customFormat="false" ht="13.8" hidden="false" customHeight="false" outlineLevel="0" collapsed="false">
      <c r="B140" s="361"/>
      <c r="C140" s="361"/>
      <c r="D140" s="351"/>
      <c r="E140" s="352"/>
      <c r="F140" s="372"/>
      <c r="G140" s="352"/>
      <c r="H140" s="359"/>
      <c r="I140" s="366"/>
    </row>
    <row r="141" s="286" customFormat="true" ht="13.8" hidden="false" customHeight="false" outlineLevel="0" collapsed="false">
      <c r="A141" s="329" t="s">
        <v>254</v>
      </c>
      <c r="B141" s="337" t="s">
        <v>895</v>
      </c>
      <c r="C141" s="337" t="str">
        <f aca="false">+VLOOKUP($A141,BASEdades!$A$3:$AA$283,3,FALSE())</f>
        <v>ut</v>
      </c>
      <c r="D141" s="367" t="str">
        <f aca="false">+VLOOKUP($A141,BASEdades!$A$3:$AA$298,2,FALSE())</f>
        <v>Troncs verticals</v>
      </c>
      <c r="E141" s="338"/>
      <c r="F141" s="338"/>
      <c r="G141" s="339" t="n">
        <f aca="false">G145</f>
        <v>88</v>
      </c>
      <c r="H141" s="340" t="n">
        <f aca="false">+VLOOKUP($A141,BASEdades!$A$3:$AA$283,7,FALSE())</f>
        <v>19</v>
      </c>
      <c r="I141" s="340" t="n">
        <f aca="false">G141*H141</f>
        <v>1672</v>
      </c>
      <c r="L141" s="0"/>
      <c r="M141" s="0"/>
    </row>
    <row r="142" s="286" customFormat="true" ht="68.65" hidden="false" customHeight="false" outlineLevel="0" collapsed="false">
      <c r="B142" s="368"/>
      <c r="C142" s="368"/>
      <c r="D142" s="353" t="str">
        <f aca="false">+VLOOKUP($A141,BASEdades!$A$3:$AA$283,4,FALSE())</f>
        <v>Subministrament i instal·lació de troncs d'acàcia polits i amb oli d'entre 14 i 24cm de diàmetre, col·locats verticalment sobre el terreny. Inclou p/p de replanteig, excavació manual del terreny, selecció i tall de troncs, replè i compactació del terreny contigu i eliminació i neteja del material sobrant.  Inclou mecanització.</v>
      </c>
      <c r="E142" s="341"/>
      <c r="F142" s="341"/>
      <c r="G142" s="369"/>
      <c r="H142" s="344"/>
      <c r="I142" s="370"/>
      <c r="L142" s="0"/>
      <c r="M142" s="0"/>
    </row>
    <row r="143" s="286" customFormat="true" ht="14.9" hidden="false" customHeight="false" outlineLevel="0" collapsed="false">
      <c r="B143" s="368"/>
      <c r="C143" s="368"/>
      <c r="D143" s="341" t="str">
        <f aca="false">+VLOOKUP($A141,BASEdades!$A$3:$AA$283,5,FALSE())</f>
        <v>.mides variades: 25-40cm</v>
      </c>
      <c r="E143" s="341"/>
      <c r="F143" s="341"/>
      <c r="G143" s="369"/>
      <c r="H143" s="344"/>
      <c r="I143" s="370"/>
      <c r="L143" s="0"/>
      <c r="M143" s="0"/>
    </row>
    <row r="144" s="286" customFormat="true" ht="14.9" hidden="false" customHeight="false" outlineLevel="0" collapsed="false">
      <c r="B144" s="368"/>
      <c r="C144" s="368"/>
      <c r="D144" s="341" t="str">
        <f aca="false">+VLOOKUP($A141,BASEdades!$A$3:$AA$283,6,FALSE())</f>
        <v>.</v>
      </c>
      <c r="E144" s="348"/>
      <c r="F144" s="371"/>
      <c r="G144" s="348"/>
      <c r="H144" s="344"/>
      <c r="I144" s="370"/>
      <c r="L144" s="0"/>
      <c r="M144" s="0"/>
    </row>
    <row r="145" s="286" customFormat="true" ht="13.8" hidden="false" customHeight="false" outlineLevel="0" collapsed="false">
      <c r="B145" s="368"/>
      <c r="C145" s="368"/>
      <c r="D145" s="350" t="s">
        <v>896</v>
      </c>
      <c r="E145" s="348"/>
      <c r="F145" s="371"/>
      <c r="G145" s="348" t="n">
        <v>88</v>
      </c>
      <c r="H145" s="344"/>
      <c r="I145" s="370"/>
      <c r="L145" s="0"/>
      <c r="M145" s="0"/>
    </row>
    <row r="146" customFormat="false" ht="13.8" hidden="false" customHeight="false" outlineLevel="0" collapsed="false">
      <c r="B146" s="361"/>
      <c r="C146" s="361"/>
      <c r="D146" s="351"/>
      <c r="E146" s="352"/>
      <c r="F146" s="372"/>
      <c r="G146" s="352"/>
      <c r="H146" s="359"/>
      <c r="I146" s="366"/>
    </row>
    <row r="147" s="286" customFormat="true" ht="13.8" hidden="false" customHeight="false" outlineLevel="0" collapsed="false">
      <c r="A147" s="329" t="s">
        <v>250</v>
      </c>
      <c r="B147" s="337" t="s">
        <v>897</v>
      </c>
      <c r="C147" s="337" t="str">
        <f aca="false">+VLOOKUP($A147,BASEdades!$A$3:$AA$283,3,FALSE())</f>
        <v>m</v>
      </c>
      <c r="D147" s="367" t="str">
        <f aca="false">+VLOOKUP($A147,BASEdades!$A$3:$AA$298,2,FALSE())</f>
        <v>Troncs horitzontal</v>
      </c>
      <c r="E147" s="338"/>
      <c r="F147" s="338"/>
      <c r="G147" s="339" t="n">
        <f aca="false">G151</f>
        <v>39.1</v>
      </c>
      <c r="H147" s="340" t="n">
        <f aca="false">+VLOOKUP($A147,BASEdades!$A$3:$AA$283,7,FALSE())</f>
        <v>58</v>
      </c>
      <c r="I147" s="340" t="n">
        <f aca="false">G147*H147</f>
        <v>2267.8</v>
      </c>
      <c r="L147" s="0"/>
      <c r="M147" s="0"/>
    </row>
    <row r="148" s="286" customFormat="true" ht="82.05" hidden="false" customHeight="false" outlineLevel="0" collapsed="false">
      <c r="B148" s="368"/>
      <c r="C148" s="368"/>
      <c r="D148" s="353" t="str">
        <f aca="false">+VLOOKUP($A147,BASEdades!$A$3:$AA$283,4,FALSE())</f>
        <v>Subministrament i instal·lació de troncs d'acàcia polits i amb oli d'entre 14 i 24cm de diàmetre, col·locats horitzontalment sobre el terreny. Inclou p/p de replanteig, excavació manual del terreny, selecció i tall de troncs, replè i compactació del terreny contigu i eliminació i neteja del material sobrant.  Inclou mecanització.</v>
      </c>
      <c r="E148" s="341"/>
      <c r="F148" s="341"/>
      <c r="G148" s="369"/>
      <c r="H148" s="344"/>
      <c r="I148" s="370"/>
      <c r="L148" s="0"/>
      <c r="M148" s="0"/>
    </row>
    <row r="149" s="286" customFormat="true" ht="14.9" hidden="false" customHeight="false" outlineLevel="0" collapsed="false">
      <c r="B149" s="368"/>
      <c r="C149" s="368"/>
      <c r="D149" s="341" t="str">
        <f aca="false">+VLOOKUP($A147,BASEdades!$A$3:$AA$283,5,FALSE())</f>
        <v>.mides variades: 120-260cm</v>
      </c>
      <c r="E149" s="341"/>
      <c r="F149" s="341"/>
      <c r="G149" s="369"/>
      <c r="H149" s="344"/>
      <c r="I149" s="370"/>
      <c r="L149" s="0"/>
      <c r="M149" s="0"/>
    </row>
    <row r="150" s="286" customFormat="true" ht="14.9" hidden="false" customHeight="false" outlineLevel="0" collapsed="false">
      <c r="B150" s="368"/>
      <c r="C150" s="368"/>
      <c r="D150" s="341" t="str">
        <f aca="false">+VLOOKUP($A147,BASEdades!$A$3:$AA$283,6,FALSE())</f>
        <v>.</v>
      </c>
      <c r="E150" s="348"/>
      <c r="F150" s="371"/>
      <c r="G150" s="348"/>
      <c r="H150" s="344"/>
      <c r="I150" s="370"/>
      <c r="L150" s="0"/>
      <c r="M150" s="0"/>
    </row>
    <row r="151" s="286" customFormat="true" ht="13.8" hidden="false" customHeight="false" outlineLevel="0" collapsed="false">
      <c r="B151" s="368"/>
      <c r="C151" s="368"/>
      <c r="D151" s="350" t="s">
        <v>896</v>
      </c>
      <c r="E151" s="348"/>
      <c r="F151" s="371"/>
      <c r="G151" s="348" t="n">
        <f aca="false">23*1.7</f>
        <v>39.1</v>
      </c>
      <c r="H151" s="344"/>
      <c r="I151" s="370"/>
      <c r="L151" s="0"/>
      <c r="M151" s="0"/>
    </row>
    <row r="152" customFormat="false" ht="13.8" hidden="false" customHeight="false" outlineLevel="0" collapsed="false">
      <c r="B152" s="361"/>
      <c r="C152" s="361"/>
      <c r="D152" s="351"/>
      <c r="E152" s="352"/>
      <c r="F152" s="372"/>
      <c r="G152" s="352"/>
      <c r="H152" s="359"/>
      <c r="I152" s="366"/>
    </row>
    <row r="153" s="286" customFormat="true" ht="13.8" hidden="false" customHeight="false" outlineLevel="0" collapsed="false">
      <c r="A153" s="329" t="s">
        <v>218</v>
      </c>
      <c r="B153" s="337" t="s">
        <v>898</v>
      </c>
      <c r="C153" s="337" t="str">
        <f aca="false">+VLOOKUP($A153,BASEdades!$A$3:$AA$283,3,FALSE())</f>
        <v>m3</v>
      </c>
      <c r="D153" s="367" t="str">
        <f aca="false">+VLOOKUP($A153,BASEdades!$A$3:$AA$298,2,FALSE())</f>
        <v>Àrid ull de perdiu</v>
      </c>
      <c r="E153" s="338"/>
      <c r="F153" s="338"/>
      <c r="G153" s="339" t="n">
        <f aca="false">SUM(G157:G160)</f>
        <v>19.55</v>
      </c>
      <c r="H153" s="340" t="n">
        <f aca="false">+VLOOKUP($A153,BASEdades!$A$3:$AA$283,7,FALSE())</f>
        <v>114.666666666667</v>
      </c>
      <c r="I153" s="340" t="n">
        <f aca="false">G153*H153</f>
        <v>2241.73333333333</v>
      </c>
      <c r="L153" s="0"/>
      <c r="M153" s="0"/>
    </row>
    <row r="154" s="286" customFormat="true" ht="41.75" hidden="false" customHeight="false" outlineLevel="0" collapsed="false">
      <c r="B154" s="368"/>
      <c r="C154" s="368"/>
      <c r="D154" s="353" t="str">
        <f aca="false">+VLOOKUP($A153,BASEdades!$A$3:$AA$283,4,FALSE())</f>
        <v>Subministrament i estesa de paviment d'àrid ull de perdiu, rentat,  de grandària màxima 40 a 80 mm i cares arrodonides, amb estesa del material, amb mitjans manuals</v>
      </c>
      <c r="E154" s="341"/>
      <c r="F154" s="341"/>
      <c r="G154" s="369"/>
      <c r="H154" s="344"/>
      <c r="I154" s="370"/>
      <c r="L154" s="0"/>
      <c r="M154" s="0"/>
    </row>
    <row r="155" s="286" customFormat="true" ht="14.9" hidden="false" customHeight="false" outlineLevel="0" collapsed="false">
      <c r="B155" s="368"/>
      <c r="C155" s="368"/>
      <c r="D155" s="341" t="str">
        <f aca="false">+VLOOKUP($A153,BASEdades!$A$3:$AA$283,5,FALSE())</f>
        <v>.mides: m3</v>
      </c>
      <c r="E155" s="341"/>
      <c r="F155" s="341"/>
      <c r="G155" s="369"/>
      <c r="H155" s="344"/>
      <c r="I155" s="370"/>
      <c r="L155" s="0"/>
      <c r="M155" s="0"/>
    </row>
    <row r="156" s="286" customFormat="true" ht="14.9" hidden="false" customHeight="false" outlineLevel="0" collapsed="false">
      <c r="B156" s="368"/>
      <c r="C156" s="368"/>
      <c r="D156" s="341" t="str">
        <f aca="false">+VLOOKUP($A153,BASEdades!$A$3:$AA$283,6,FALSE())</f>
        <v>.</v>
      </c>
      <c r="E156" s="348"/>
      <c r="F156" s="371"/>
      <c r="G156" s="348"/>
      <c r="H156" s="344"/>
      <c r="I156" s="370"/>
      <c r="L156" s="0"/>
      <c r="M156" s="0"/>
    </row>
    <row r="157" s="286" customFormat="true" ht="13.8" hidden="false" customHeight="false" outlineLevel="0" collapsed="false">
      <c r="B157" s="368"/>
      <c r="C157" s="368"/>
      <c r="D157" s="350" t="str">
        <f aca="false">D45</f>
        <v>.sorral petit</v>
      </c>
      <c r="E157" s="348" t="n">
        <f aca="false">E45</f>
        <v>27.5</v>
      </c>
      <c r="F157" s="371" t="n">
        <v>0.1</v>
      </c>
      <c r="G157" s="348" t="n">
        <f aca="false">E157*F157</f>
        <v>2.75</v>
      </c>
      <c r="H157" s="344"/>
      <c r="I157" s="370"/>
      <c r="L157" s="0"/>
      <c r="M157" s="0"/>
    </row>
    <row r="158" s="286" customFormat="true" ht="13.8" hidden="false" customHeight="false" outlineLevel="0" collapsed="false">
      <c r="B158" s="368"/>
      <c r="C158" s="368"/>
      <c r="D158" s="350" t="str">
        <f aca="false">D46</f>
        <v>.sorral gran</v>
      </c>
      <c r="E158" s="348" t="n">
        <f aca="false">E46</f>
        <v>72</v>
      </c>
      <c r="F158" s="371" t="n">
        <v>0.1</v>
      </c>
      <c r="G158" s="348" t="n">
        <f aca="false">E158*F158</f>
        <v>7.2</v>
      </c>
      <c r="H158" s="344"/>
      <c r="I158" s="370"/>
      <c r="L158" s="0"/>
      <c r="M158" s="0"/>
    </row>
    <row r="159" s="286" customFormat="true" ht="13.8" hidden="false" customHeight="false" outlineLevel="0" collapsed="false">
      <c r="B159" s="368"/>
      <c r="C159" s="368"/>
      <c r="D159" s="350" t="str">
        <f aca="false">D47</f>
        <v>.equilibri</v>
      </c>
      <c r="E159" s="348" t="n">
        <f aca="false">E47</f>
        <v>29</v>
      </c>
      <c r="F159" s="371" t="n">
        <v>0.3</v>
      </c>
      <c r="G159" s="348" t="n">
        <f aca="false">E159*F159</f>
        <v>8.7</v>
      </c>
      <c r="H159" s="344"/>
      <c r="I159" s="370"/>
      <c r="L159" s="0"/>
      <c r="M159" s="0"/>
    </row>
    <row r="160" s="286" customFormat="true" ht="13.8" hidden="false" customHeight="false" outlineLevel="0" collapsed="false">
      <c r="B160" s="368"/>
      <c r="C160" s="368"/>
      <c r="D160" s="350" t="str">
        <f aca="false">D50</f>
        <v>.rases d'instal·lacions</v>
      </c>
      <c r="E160" s="348" t="n">
        <v>10</v>
      </c>
      <c r="F160" s="371" t="n">
        <f aca="false">0.3*0.3</f>
        <v>0.09</v>
      </c>
      <c r="G160" s="348" t="n">
        <f aca="false">E160*F160</f>
        <v>0.9</v>
      </c>
      <c r="H160" s="344"/>
      <c r="I160" s="370"/>
      <c r="L160" s="0"/>
      <c r="M160" s="0"/>
    </row>
    <row r="161" customFormat="false" ht="13.8" hidden="false" customHeight="false" outlineLevel="0" collapsed="false">
      <c r="B161" s="361"/>
      <c r="C161" s="361"/>
      <c r="D161" s="351"/>
      <c r="E161" s="352"/>
      <c r="F161" s="372"/>
      <c r="G161" s="352"/>
      <c r="H161" s="359"/>
      <c r="I161" s="366"/>
    </row>
    <row r="162" s="286" customFormat="true" ht="13.8" hidden="false" customHeight="false" outlineLevel="0" collapsed="false">
      <c r="A162" s="329" t="s">
        <v>221</v>
      </c>
      <c r="B162" s="337" t="s">
        <v>899</v>
      </c>
      <c r="C162" s="337" t="str">
        <f aca="false">+VLOOKUP($A162,BASEdades!$A$3:$AA$283,3,FALSE())</f>
        <v>m3</v>
      </c>
      <c r="D162" s="367" t="str">
        <f aca="false">+VLOOKUP($A162,BASEdades!$A$3:$AA$298,2,FALSE())</f>
        <v>Grava de pedrera de pedra granítica, Ø40/70 mm</v>
      </c>
      <c r="E162" s="338"/>
      <c r="F162" s="338"/>
      <c r="G162" s="339" t="n">
        <f aca="false">SUM(G166)</f>
        <v>9.17</v>
      </c>
      <c r="H162" s="340" t="n">
        <f aca="false">+VLOOKUP($A162,BASEdades!$A$3:$AA$283,7,FALSE())</f>
        <v>65.7</v>
      </c>
      <c r="I162" s="340" t="n">
        <f aca="false">G162*H162</f>
        <v>602.469</v>
      </c>
      <c r="L162" s="0"/>
      <c r="M162" s="0"/>
    </row>
    <row r="163" s="286" customFormat="true" ht="41.75" hidden="false" customHeight="false" outlineLevel="0" collapsed="false">
      <c r="B163" s="368"/>
      <c r="C163" s="368"/>
      <c r="D163" s="353" t="str">
        <f aca="false">+VLOOKUP($A162,BASEdades!$A$3:$AA$283,4,FALSE())</f>
        <v>Aportació i estesa de grava de pedrera de pedra granítica, Ø40/70 mm subministrada amb big bag i estesa amb mitjans manuals.</v>
      </c>
      <c r="E163" s="341"/>
      <c r="F163" s="341"/>
      <c r="G163" s="369"/>
      <c r="H163" s="344"/>
      <c r="I163" s="370"/>
      <c r="L163" s="0"/>
      <c r="M163" s="0"/>
    </row>
    <row r="164" s="286" customFormat="true" ht="14.9" hidden="false" customHeight="false" outlineLevel="0" collapsed="false">
      <c r="B164" s="368"/>
      <c r="C164" s="368"/>
      <c r="D164" s="341" t="str">
        <f aca="false">+VLOOKUP($A162,BASEdades!$A$3:$AA$283,5,FALSE())</f>
        <v>.mides: m3</v>
      </c>
      <c r="E164" s="341"/>
      <c r="F164" s="341"/>
      <c r="G164" s="369"/>
      <c r="H164" s="344"/>
      <c r="I164" s="370"/>
      <c r="L164" s="0"/>
      <c r="M164" s="0"/>
    </row>
    <row r="165" s="286" customFormat="true" ht="14.9" hidden="false" customHeight="false" outlineLevel="0" collapsed="false">
      <c r="B165" s="368"/>
      <c r="C165" s="368"/>
      <c r="D165" s="341" t="str">
        <f aca="false">+VLOOKUP($A162,BASEdades!$A$3:$AA$283,6,FALSE())</f>
        <v>.</v>
      </c>
      <c r="E165" s="348"/>
      <c r="F165" s="371"/>
      <c r="G165" s="348"/>
      <c r="H165" s="344"/>
      <c r="I165" s="370"/>
      <c r="L165" s="0"/>
      <c r="M165" s="0"/>
    </row>
    <row r="166" s="286" customFormat="true" ht="13.8" hidden="false" customHeight="false" outlineLevel="0" collapsed="false">
      <c r="B166" s="368"/>
      <c r="C166" s="368"/>
      <c r="D166" s="374" t="s">
        <v>856</v>
      </c>
      <c r="E166" s="348" t="n">
        <f aca="false">G75</f>
        <v>45.85</v>
      </c>
      <c r="F166" s="371" t="n">
        <v>0.2</v>
      </c>
      <c r="G166" s="348" t="n">
        <f aca="false">E166*F166</f>
        <v>9.17</v>
      </c>
      <c r="H166" s="344"/>
      <c r="I166" s="370"/>
      <c r="L166" s="0"/>
      <c r="M166" s="0"/>
    </row>
    <row r="167" customFormat="false" ht="13.8" hidden="false" customHeight="false" outlineLevel="0" collapsed="false">
      <c r="B167" s="361"/>
      <c r="C167" s="361"/>
      <c r="D167" s="351"/>
      <c r="E167" s="352"/>
      <c r="F167" s="372"/>
      <c r="G167" s="352"/>
      <c r="H167" s="359"/>
      <c r="I167" s="366"/>
    </row>
    <row r="168" s="286" customFormat="true" ht="13.8" hidden="false" customHeight="false" outlineLevel="0" collapsed="false">
      <c r="A168" s="329" t="s">
        <v>205</v>
      </c>
      <c r="B168" s="337" t="s">
        <v>900</v>
      </c>
      <c r="C168" s="337" t="str">
        <f aca="false">+VLOOKUP($A168,BASEdades!$A$3:$AA$283,3,FALSE())</f>
        <v>m3</v>
      </c>
      <c r="D168" s="367" t="str">
        <f aca="false">+VLOOKUP($A168,BASEdades!$A$3:$AA$298,2,FALSE())</f>
        <v>Paviment de sauló</v>
      </c>
      <c r="E168" s="338"/>
      <c r="F168" s="338"/>
      <c r="G168" s="339" t="n">
        <f aca="false">SUM(G172)</f>
        <v>4.5</v>
      </c>
      <c r="H168" s="340" t="n">
        <f aca="false">+VLOOKUP($A168,BASEdades!$A$3:$AA$283,7,FALSE())</f>
        <v>92</v>
      </c>
      <c r="I168" s="340" t="n">
        <f aca="false">G168*H168</f>
        <v>414</v>
      </c>
      <c r="L168" s="0"/>
      <c r="M168" s="0"/>
    </row>
    <row r="169" s="286" customFormat="true" ht="41.75" hidden="false" customHeight="false" outlineLevel="0" collapsed="false">
      <c r="B169" s="368"/>
      <c r="C169" s="368"/>
      <c r="D169" s="353" t="str">
        <f aca="false">+VLOOKUP($A168,BASEdades!$A$3:$AA$283,4,FALSE())</f>
        <v>Subministrament i estesa de sauló com a paviment amb mitjans manuals. Base de sauló, amb estesa i piconatge del material al 95 % del PM.</v>
      </c>
      <c r="E169" s="341"/>
      <c r="F169" s="341"/>
      <c r="G169" s="369"/>
      <c r="H169" s="344"/>
      <c r="I169" s="370"/>
      <c r="L169" s="0"/>
      <c r="M169" s="0"/>
    </row>
    <row r="170" s="286" customFormat="true" ht="14.9" hidden="false" customHeight="false" outlineLevel="0" collapsed="false">
      <c r="B170" s="368"/>
      <c r="C170" s="368"/>
      <c r="D170" s="341" t="str">
        <f aca="false">+VLOOKUP($A168,BASEdades!$A$3:$AA$283,5,FALSE())</f>
        <v>.mides: m3</v>
      </c>
      <c r="E170" s="341"/>
      <c r="F170" s="341"/>
      <c r="G170" s="369"/>
      <c r="H170" s="344"/>
      <c r="I170" s="370"/>
      <c r="L170" s="0"/>
      <c r="M170" s="0"/>
    </row>
    <row r="171" s="286" customFormat="true" ht="14.9" hidden="false" customHeight="false" outlineLevel="0" collapsed="false">
      <c r="B171" s="368"/>
      <c r="C171" s="368"/>
      <c r="D171" s="341" t="str">
        <f aca="false">+VLOOKUP($A168,BASEdades!$A$3:$AA$283,6,FALSE())</f>
        <v>.</v>
      </c>
      <c r="E171" s="348"/>
      <c r="F171" s="371"/>
      <c r="G171" s="348"/>
      <c r="H171" s="344"/>
      <c r="I171" s="370"/>
      <c r="L171" s="0"/>
      <c r="M171" s="0"/>
    </row>
    <row r="172" s="286" customFormat="true" ht="13.8" hidden="false" customHeight="false" outlineLevel="0" collapsed="false">
      <c r="B172" s="368"/>
      <c r="C172" s="368"/>
      <c r="D172" s="350" t="s">
        <v>901</v>
      </c>
      <c r="E172" s="348"/>
      <c r="F172" s="371"/>
      <c r="G172" s="348" t="n">
        <f aca="false">150*0.03</f>
        <v>4.5</v>
      </c>
      <c r="H172" s="344"/>
      <c r="I172" s="370"/>
      <c r="L172" s="0"/>
      <c r="M172" s="0"/>
    </row>
    <row r="173" customFormat="false" ht="13.8" hidden="false" customHeight="false" outlineLevel="0" collapsed="false">
      <c r="B173" s="361"/>
      <c r="C173" s="361"/>
      <c r="D173" s="351"/>
      <c r="E173" s="352"/>
      <c r="F173" s="372"/>
      <c r="G173" s="352"/>
      <c r="H173" s="359"/>
      <c r="I173" s="366"/>
    </row>
    <row r="174" s="286" customFormat="true" ht="13.8" hidden="false" customHeight="false" outlineLevel="0" collapsed="false">
      <c r="A174" s="329" t="s">
        <v>208</v>
      </c>
      <c r="B174" s="337" t="s">
        <v>902</v>
      </c>
      <c r="C174" s="337" t="str">
        <f aca="false">+VLOOKUP($A174,BASEdades!$A$3:$AA$283,3,FALSE())</f>
        <v>m3</v>
      </c>
      <c r="D174" s="367" t="str">
        <f aca="false">+VLOOKUP($A174,BASEdades!$A$3:$AA$298,2,FALSE())</f>
        <v>Sorra per sorral</v>
      </c>
      <c r="E174" s="338"/>
      <c r="F174" s="338"/>
      <c r="G174" s="339" t="n">
        <f aca="false">SUM(G178:G179)</f>
        <v>39.8</v>
      </c>
      <c r="H174" s="340" t="n">
        <f aca="false">+VLOOKUP($A174,BASEdades!$A$3:$AA$283,7,FALSE())</f>
        <v>136.173333333333</v>
      </c>
      <c r="I174" s="340" t="n">
        <f aca="false">G174*H174</f>
        <v>5419.69866666667</v>
      </c>
      <c r="L174" s="0"/>
      <c r="M174" s="0"/>
    </row>
    <row r="175" s="286" customFormat="true" ht="41.75" hidden="false" customHeight="false" outlineLevel="0" collapsed="false">
      <c r="B175" s="368"/>
      <c r="C175" s="368"/>
      <c r="D175" s="353" t="str">
        <f aca="false">+VLOOKUP($A174,BASEdades!$A$3:$AA$283,4,FALSE())</f>
        <v>Subministrament i estesa de barreja de sorra de 0.2 a 2 mm de gruix rentada sense partícules de fang ni argiles, amb estesa i nivellat de material. Inclou estesa.</v>
      </c>
      <c r="E175" s="341"/>
      <c r="F175" s="341"/>
      <c r="G175" s="369"/>
      <c r="H175" s="344"/>
      <c r="I175" s="370"/>
      <c r="L175" s="0"/>
      <c r="M175" s="0"/>
    </row>
    <row r="176" s="286" customFormat="true" ht="14.9" hidden="false" customHeight="false" outlineLevel="0" collapsed="false">
      <c r="B176" s="368"/>
      <c r="C176" s="368"/>
      <c r="D176" s="341" t="str">
        <f aca="false">+VLOOKUP($A174,BASEdades!$A$3:$AA$283,5,FALSE())</f>
        <v>.mides: m3</v>
      </c>
      <c r="E176" s="341"/>
      <c r="F176" s="341"/>
      <c r="G176" s="369"/>
      <c r="H176" s="344"/>
      <c r="I176" s="370"/>
      <c r="L176" s="0"/>
      <c r="M176" s="0"/>
    </row>
    <row r="177" s="286" customFormat="true" ht="14.9" hidden="false" customHeight="false" outlineLevel="0" collapsed="false">
      <c r="B177" s="368"/>
      <c r="C177" s="368"/>
      <c r="D177" s="341" t="str">
        <f aca="false">+VLOOKUP($A174,BASEdades!$A$3:$AA$283,6,FALSE())</f>
        <v>.</v>
      </c>
      <c r="E177" s="348"/>
      <c r="F177" s="371"/>
      <c r="G177" s="348"/>
      <c r="H177" s="344"/>
      <c r="I177" s="370"/>
      <c r="L177" s="0"/>
      <c r="M177" s="0"/>
    </row>
    <row r="178" s="286" customFormat="true" ht="13.8" hidden="false" customHeight="false" outlineLevel="0" collapsed="false">
      <c r="B178" s="368"/>
      <c r="C178" s="368"/>
      <c r="D178" s="350" t="str">
        <f aca="false">D45</f>
        <v>.sorral petit</v>
      </c>
      <c r="E178" s="348"/>
      <c r="F178" s="371"/>
      <c r="G178" s="348" t="n">
        <f aca="false">G45</f>
        <v>11</v>
      </c>
      <c r="H178" s="344"/>
      <c r="I178" s="370"/>
      <c r="L178" s="0"/>
      <c r="M178" s="0"/>
    </row>
    <row r="179" s="286" customFormat="true" ht="13.8" hidden="false" customHeight="false" outlineLevel="0" collapsed="false">
      <c r="B179" s="368"/>
      <c r="C179" s="368"/>
      <c r="D179" s="350" t="str">
        <f aca="false">D46</f>
        <v>.sorral gran</v>
      </c>
      <c r="E179" s="348"/>
      <c r="F179" s="371"/>
      <c r="G179" s="348" t="n">
        <f aca="false">G46</f>
        <v>28.8</v>
      </c>
      <c r="H179" s="344"/>
      <c r="I179" s="370"/>
      <c r="L179" s="0"/>
      <c r="M179" s="0"/>
    </row>
    <row r="180" customFormat="false" ht="13.8" hidden="false" customHeight="false" outlineLevel="0" collapsed="false">
      <c r="B180" s="361"/>
      <c r="C180" s="361"/>
      <c r="D180" s="351"/>
      <c r="E180" s="352"/>
      <c r="F180" s="372"/>
      <c r="G180" s="352"/>
      <c r="H180" s="359"/>
      <c r="I180" s="366"/>
    </row>
    <row r="181" s="286" customFormat="true" ht="13.8" hidden="false" customHeight="false" outlineLevel="0" collapsed="false">
      <c r="A181" s="329" t="s">
        <v>397</v>
      </c>
      <c r="B181" s="337" t="s">
        <v>903</v>
      </c>
      <c r="C181" s="337" t="str">
        <f aca="false">+VLOOKUP($A181,BASEdades!$A$3:$AA$283,3,FALSE())</f>
        <v>ut</v>
      </c>
      <c r="D181" s="367" t="str">
        <f aca="false">+VLOOKUP($A181,BASEdades!$A$3:$AA$298,2,FALSE())</f>
        <v>Obrador Molí per bressol</v>
      </c>
      <c r="E181" s="338"/>
      <c r="F181" s="338"/>
      <c r="G181" s="339" t="n">
        <v>1</v>
      </c>
      <c r="H181" s="340" t="n">
        <f aca="false">+VLOOKUP($A181,BASEdades!$A$3:$AA$283,7,FALSE())</f>
        <v>945.2</v>
      </c>
      <c r="I181" s="340" t="n">
        <f aca="false">G181*H181</f>
        <v>945.2</v>
      </c>
      <c r="L181" s="0"/>
      <c r="M181" s="0"/>
    </row>
    <row r="182" s="286" customFormat="true" ht="41.75" hidden="false" customHeight="false" outlineLevel="0" collapsed="false">
      <c r="B182" s="368"/>
      <c r="C182" s="368"/>
      <c r="D182" s="353" t="str">
        <f aca="false">+VLOOKUP($A181,BASEdades!$A$3:$AA$283,4,FALSE())</f>
        <v>Subministrament i instal.lació de cuina fusta amb. Moble de fusta amb prestatges, fogons, taulell pel racó de joc simbòlic. No inclou accessoris.</v>
      </c>
      <c r="E182" s="341"/>
      <c r="F182" s="341"/>
      <c r="G182" s="369"/>
      <c r="H182" s="344"/>
      <c r="I182" s="370"/>
      <c r="L182" s="0"/>
      <c r="M182" s="0"/>
    </row>
    <row r="183" s="286" customFormat="true" ht="14.9" hidden="false" customHeight="false" outlineLevel="0" collapsed="false">
      <c r="B183" s="368"/>
      <c r="C183" s="368"/>
      <c r="D183" s="341" t="str">
        <f aca="false">+VLOOKUP($A181,BASEdades!$A$3:$AA$283,5,FALSE())</f>
        <v>.mides. 180x40x80h</v>
      </c>
      <c r="E183" s="341"/>
      <c r="F183" s="341"/>
      <c r="G183" s="369"/>
      <c r="H183" s="344"/>
      <c r="I183" s="370"/>
      <c r="L183" s="0"/>
      <c r="M183" s="0"/>
    </row>
    <row r="184" s="286" customFormat="true" ht="14.9" hidden="false" customHeight="false" outlineLevel="0" collapsed="false">
      <c r="B184" s="368"/>
      <c r="C184" s="368"/>
      <c r="D184" s="341" t="str">
        <f aca="false">+VLOOKUP($A181,BASEdades!$A$3:$AA$283,6,FALSE())</f>
        <v>.</v>
      </c>
      <c r="E184" s="341"/>
      <c r="F184" s="341"/>
      <c r="G184" s="369"/>
      <c r="H184" s="344"/>
      <c r="I184" s="370"/>
      <c r="L184" s="0"/>
      <c r="M184" s="0"/>
    </row>
    <row r="185" customFormat="false" ht="13.8" hidden="false" customHeight="false" outlineLevel="0" collapsed="false">
      <c r="B185" s="361"/>
      <c r="C185" s="361"/>
      <c r="D185" s="351"/>
      <c r="E185" s="352"/>
      <c r="F185" s="372"/>
      <c r="G185" s="352"/>
      <c r="H185" s="359"/>
      <c r="I185" s="366"/>
    </row>
    <row r="186" s="286" customFormat="true" ht="13.8" hidden="false" customHeight="false" outlineLevel="0" collapsed="false">
      <c r="A186" s="329" t="s">
        <v>490</v>
      </c>
      <c r="B186" s="337" t="n">
        <v>2.16</v>
      </c>
      <c r="C186" s="337" t="str">
        <f aca="false">+VLOOKUP($A186,BASEdades!$A$3:$AA$283,3,FALSE())</f>
        <v>ut</v>
      </c>
      <c r="D186" s="367" t="str">
        <f aca="false">+VLOOKUP($A186,BASEdades!$A$3:$AA$298,2,FALSE())</f>
        <v>Taula mig tronc amb 6 seients</v>
      </c>
      <c r="E186" s="338"/>
      <c r="F186" s="338"/>
      <c r="G186" s="339" t="n">
        <v>1</v>
      </c>
      <c r="H186" s="340" t="n">
        <f aca="false">+VLOOKUP($A186,BASEdades!$A$3:$AA$283,7,FALSE())</f>
        <v>496.5</v>
      </c>
      <c r="I186" s="340" t="n">
        <f aca="false">G186*H186</f>
        <v>496.5</v>
      </c>
      <c r="L186" s="0"/>
      <c r="M186" s="0"/>
    </row>
    <row r="187" s="286" customFormat="true" ht="28.35" hidden="false" customHeight="false" outlineLevel="0" collapsed="false">
      <c r="B187" s="368"/>
      <c r="C187" s="368"/>
      <c r="D187" s="353" t="str">
        <f aca="false">+VLOOKUP($A186,BASEdades!$A$3:$AA$283,4,FALSE())</f>
        <v>Subministrament i instal·lació de taula de fusta feta a partir de mig tronc, més sis seients de troncs gruixuts.</v>
      </c>
      <c r="E187" s="341"/>
      <c r="F187" s="341"/>
      <c r="G187" s="369"/>
      <c r="H187" s="344"/>
      <c r="I187" s="370"/>
      <c r="L187" s="0"/>
      <c r="M187" s="0"/>
    </row>
    <row r="188" s="286" customFormat="true" ht="14.9" hidden="false" customHeight="false" outlineLevel="0" collapsed="false">
      <c r="B188" s="368"/>
      <c r="C188" s="368"/>
      <c r="D188" s="341" t="str">
        <f aca="false">+VLOOKUP($A186,BASEdades!$A$3:$AA$283,5,FALSE())</f>
        <v>.mides: 120x40x40cm seients h30cm</v>
      </c>
      <c r="E188" s="341"/>
      <c r="F188" s="341"/>
      <c r="G188" s="369"/>
      <c r="H188" s="344"/>
      <c r="I188" s="370"/>
      <c r="L188" s="0"/>
      <c r="M188" s="0"/>
    </row>
    <row r="189" s="286" customFormat="true" ht="14.9" hidden="false" customHeight="false" outlineLevel="0" collapsed="false">
      <c r="B189" s="368"/>
      <c r="C189" s="368"/>
      <c r="D189" s="341" t="str">
        <f aca="false">+VLOOKUP($A186,BASEdades!$A$3:$AA$283,6,FALSE())</f>
        <v>.</v>
      </c>
      <c r="E189" s="341"/>
      <c r="F189" s="341"/>
      <c r="G189" s="369"/>
      <c r="H189" s="344"/>
      <c r="I189" s="370"/>
      <c r="L189" s="0"/>
      <c r="M189" s="0"/>
    </row>
    <row r="190" customFormat="false" ht="13.8" hidden="false" customHeight="false" outlineLevel="0" collapsed="false">
      <c r="B190" s="361"/>
      <c r="C190" s="361"/>
      <c r="D190" s="351"/>
      <c r="E190" s="352"/>
      <c r="F190" s="372"/>
      <c r="G190" s="352"/>
      <c r="H190" s="359"/>
      <c r="I190" s="366"/>
    </row>
    <row r="191" s="286" customFormat="true" ht="13.8" hidden="false" customHeight="false" outlineLevel="0" collapsed="false">
      <c r="A191" s="329" t="s">
        <v>432</v>
      </c>
      <c r="B191" s="337" t="s">
        <v>904</v>
      </c>
      <c r="C191" s="337" t="str">
        <f aca="false">+VLOOKUP($A191,BASEdades!$A$3:$AA$283,3,FALSE())</f>
        <v>ut</v>
      </c>
      <c r="D191" s="367" t="str">
        <f aca="false">+VLOOKUP($A191,BASEdades!$A$3:$AA$298,2,FALSE())</f>
        <v>Túnel de tub</v>
      </c>
      <c r="E191" s="338"/>
      <c r="F191" s="338"/>
      <c r="G191" s="339" t="n">
        <f aca="false">SUM(G194:G195)</f>
        <v>1</v>
      </c>
      <c r="H191" s="340" t="n">
        <f aca="false">+VLOOKUP($A191,BASEdades!$A$3:$AA$283,7,FALSE())</f>
        <v>278</v>
      </c>
      <c r="I191" s="340" t="n">
        <f aca="false">G191*H191</f>
        <v>278</v>
      </c>
      <c r="L191" s="0"/>
      <c r="M191" s="0"/>
    </row>
    <row r="192" s="286" customFormat="true" ht="41.75" hidden="false" customHeight="false" outlineLevel="0" collapsed="false">
      <c r="B192" s="368"/>
      <c r="C192" s="368"/>
      <c r="D192" s="353" t="str">
        <f aca="false">+VLOOKUP($A191,BASEdades!$A$3:$AA$283,4,FALSE())</f>
        <v>Subministrament i instal·lació de tub corrugat (túnel) de 60cm de diàmetre i 120cm de llargada amb travesses al voltant com a element de fixació al terreny.</v>
      </c>
      <c r="E192" s="341"/>
      <c r="F192" s="341"/>
      <c r="G192" s="369"/>
      <c r="H192" s="344"/>
      <c r="I192" s="370"/>
      <c r="L192" s="0"/>
      <c r="M192" s="0"/>
    </row>
    <row r="193" s="286" customFormat="true" ht="14.9" hidden="false" customHeight="false" outlineLevel="0" collapsed="false">
      <c r="B193" s="368"/>
      <c r="C193" s="368"/>
      <c r="D193" s="341" t="str">
        <f aca="false">+VLOOKUP($A191,BASEdades!$A$3:$AA$283,5,FALSE())</f>
        <v>.mides: Tub 120x 60cm</v>
      </c>
      <c r="E193" s="341"/>
      <c r="F193" s="341"/>
      <c r="G193" s="369"/>
      <c r="H193" s="344"/>
      <c r="I193" s="370"/>
      <c r="L193" s="0"/>
      <c r="M193" s="0"/>
    </row>
    <row r="194" s="286" customFormat="true" ht="14.9" hidden="false" customHeight="false" outlineLevel="0" collapsed="false">
      <c r="B194" s="368"/>
      <c r="C194" s="368"/>
      <c r="D194" s="341" t="str">
        <f aca="false">+VLOOKUP($A191,BASEdades!$A$3:$AA$283,6,FALSE())</f>
        <v>.</v>
      </c>
      <c r="E194" s="348"/>
      <c r="F194" s="371"/>
      <c r="G194" s="348"/>
      <c r="H194" s="344"/>
      <c r="I194" s="370"/>
      <c r="L194" s="0"/>
      <c r="M194" s="0"/>
    </row>
    <row r="195" s="286" customFormat="true" ht="13.8" hidden="false" customHeight="false" outlineLevel="0" collapsed="false">
      <c r="B195" s="368"/>
      <c r="C195" s="368"/>
      <c r="D195" s="350" t="s">
        <v>849</v>
      </c>
      <c r="E195" s="348"/>
      <c r="F195" s="371"/>
      <c r="G195" s="348" t="n">
        <v>1</v>
      </c>
      <c r="H195" s="344"/>
      <c r="I195" s="370"/>
      <c r="L195" s="0"/>
      <c r="M195" s="0"/>
    </row>
    <row r="196" customFormat="false" ht="13.8" hidden="false" customHeight="false" outlineLevel="0" collapsed="false">
      <c r="B196" s="361"/>
      <c r="C196" s="361"/>
      <c r="D196" s="351"/>
      <c r="E196" s="352"/>
      <c r="F196" s="372"/>
      <c r="G196" s="352"/>
      <c r="H196" s="359"/>
      <c r="I196" s="366"/>
    </row>
    <row r="197" s="286" customFormat="true" ht="13.8" hidden="false" customHeight="false" outlineLevel="0" collapsed="false">
      <c r="A197" s="329" t="s">
        <v>358</v>
      </c>
      <c r="B197" s="337" t="s">
        <v>905</v>
      </c>
      <c r="C197" s="337" t="str">
        <f aca="false">+VLOOKUP($A197,BASEdades!$A$3:$AA$283,3,FALSE())</f>
        <v>ut</v>
      </c>
      <c r="D197" s="367" t="str">
        <f aca="false">+VLOOKUP($A197,BASEdades!$A$3:$AA$298,2,FALSE())</f>
        <v>Estructura de troncs d'equilibri la Pau</v>
      </c>
      <c r="E197" s="338"/>
      <c r="F197" s="338"/>
      <c r="G197" s="339" t="n">
        <f aca="false">SUM(G201)</f>
        <v>1</v>
      </c>
      <c r="H197" s="340" t="n">
        <f aca="false">+VLOOKUP($A197,BASEdades!$A$3:$AA$283,7,FALSE())</f>
        <v>1246.3</v>
      </c>
      <c r="I197" s="340" t="n">
        <f aca="false">G197*H197</f>
        <v>1246.3</v>
      </c>
      <c r="L197" s="0"/>
      <c r="M197" s="0"/>
    </row>
    <row r="198" s="286" customFormat="true" ht="55.2" hidden="false" customHeight="false" outlineLevel="0" collapsed="false">
      <c r="B198" s="368"/>
      <c r="C198" s="368"/>
      <c r="D198" s="353" t="str">
        <f aca="false">+VLOOKUP($A197,BASEdades!$A$3:$AA$283,4,FALSE())</f>
        <v>Subministrament i instal·lació d'estructura formada per troncs verticals i horitzontals de fusta tractada amb oli. Dos troncs de 230 cm, quatre de 160 cm, dos de 80 cm  i un amb la forma de una Y.</v>
      </c>
      <c r="E198" s="341"/>
      <c r="F198" s="341"/>
      <c r="G198" s="369"/>
      <c r="H198" s="344"/>
      <c r="I198" s="370"/>
      <c r="L198" s="0"/>
      <c r="M198" s="0"/>
    </row>
    <row r="199" s="286" customFormat="true" ht="14.9" hidden="false" customHeight="false" outlineLevel="0" collapsed="false">
      <c r="B199" s="368"/>
      <c r="C199" s="368"/>
      <c r="D199" s="341" t="str">
        <f aca="false">+VLOOKUP($A197,BASEdades!$A$3:$AA$283,5,FALSE())</f>
        <v>.mides: 6m2 aprox.</v>
      </c>
      <c r="E199" s="341"/>
      <c r="F199" s="341"/>
      <c r="G199" s="369"/>
      <c r="H199" s="344"/>
      <c r="I199" s="370"/>
      <c r="L199" s="0"/>
      <c r="M199" s="0"/>
    </row>
    <row r="200" s="286" customFormat="true" ht="14.9" hidden="false" customHeight="false" outlineLevel="0" collapsed="false">
      <c r="B200" s="368"/>
      <c r="C200" s="368"/>
      <c r="D200" s="341" t="str">
        <f aca="false">+VLOOKUP($A197,BASEdades!$A$3:$AA$283,6,FALSE())</f>
        <v>.</v>
      </c>
      <c r="E200" s="348"/>
      <c r="F200" s="371"/>
      <c r="G200" s="348"/>
      <c r="H200" s="344"/>
      <c r="I200" s="370"/>
      <c r="L200" s="0"/>
      <c r="M200" s="0"/>
    </row>
    <row r="201" s="286" customFormat="true" ht="13.8" hidden="false" customHeight="false" outlineLevel="0" collapsed="false">
      <c r="B201" s="368"/>
      <c r="C201" s="368"/>
      <c r="D201" s="350" t="s">
        <v>906</v>
      </c>
      <c r="E201" s="348"/>
      <c r="F201" s="371"/>
      <c r="G201" s="348" t="n">
        <v>1</v>
      </c>
      <c r="H201" s="344"/>
      <c r="I201" s="370"/>
      <c r="L201" s="0"/>
      <c r="M201" s="0"/>
    </row>
    <row r="202" s="286" customFormat="true" ht="13.8" hidden="false" customHeight="false" outlineLevel="0" collapsed="false">
      <c r="B202" s="368"/>
      <c r="C202" s="368"/>
      <c r="D202" s="350"/>
      <c r="E202" s="348"/>
      <c r="F202" s="371"/>
      <c r="G202" s="348"/>
      <c r="H202" s="344"/>
      <c r="I202" s="370"/>
      <c r="L202" s="0"/>
      <c r="M202" s="0"/>
    </row>
    <row r="203" s="286" customFormat="true" ht="13.8" hidden="false" customHeight="false" outlineLevel="0" collapsed="false">
      <c r="A203" s="329" t="s">
        <v>354</v>
      </c>
      <c r="B203" s="337" t="s">
        <v>907</v>
      </c>
      <c r="C203" s="337" t="str">
        <f aca="false">+VLOOKUP($A203,BASEdades!$A$3:$AA$283,3,FALSE())</f>
        <v>ut</v>
      </c>
      <c r="D203" s="367" t="str">
        <f aca="false">+VLOOKUP($A203,BASEdades!$A$3:$AA$298,2,FALSE())</f>
        <v>Estructura de troncs d'equilibri</v>
      </c>
      <c r="E203" s="338"/>
      <c r="F203" s="338"/>
      <c r="G203" s="339" t="n">
        <f aca="false">SUM(G207)</f>
        <v>1</v>
      </c>
      <c r="H203" s="340" t="n">
        <f aca="false">+VLOOKUP($A203,BASEdades!$A$3:$AA$283,7,FALSE())</f>
        <v>768</v>
      </c>
      <c r="I203" s="340" t="n">
        <f aca="false">G203*H203</f>
        <v>768</v>
      </c>
      <c r="L203" s="0"/>
      <c r="M203" s="0"/>
    </row>
    <row r="204" s="286" customFormat="true" ht="55.2" hidden="false" customHeight="false" outlineLevel="0" collapsed="false">
      <c r="B204" s="368"/>
      <c r="C204" s="368"/>
      <c r="D204" s="353" t="str">
        <f aca="false">+VLOOKUP($A203,BASEdades!$A$3:$AA$283,4,FALSE())</f>
        <v>Subministrament i instal·lació d'estructura formada per 5 troncs d'acàcia tractada. Tres troncs de 230 cm de diametre entre 12-16cm, un tronc de 180 cm i diametre entre 14-18cm i un tronc de 80cm i diametre 20cm.</v>
      </c>
      <c r="E204" s="341"/>
      <c r="F204" s="341"/>
      <c r="G204" s="369"/>
      <c r="H204" s="344"/>
      <c r="I204" s="370"/>
      <c r="L204" s="0"/>
      <c r="M204" s="0"/>
    </row>
    <row r="205" s="286" customFormat="true" ht="14.9" hidden="false" customHeight="false" outlineLevel="0" collapsed="false">
      <c r="B205" s="368"/>
      <c r="C205" s="368"/>
      <c r="D205" s="341" t="str">
        <f aca="false">+VLOOKUP($A203,BASEdades!$A$3:$AA$283,5,FALSE())</f>
        <v>.mides: 3x3m</v>
      </c>
      <c r="E205" s="341"/>
      <c r="F205" s="341"/>
      <c r="G205" s="369"/>
      <c r="H205" s="344"/>
      <c r="I205" s="370"/>
      <c r="L205" s="0"/>
      <c r="M205" s="0"/>
    </row>
    <row r="206" s="286" customFormat="true" ht="14.9" hidden="false" customHeight="false" outlineLevel="0" collapsed="false">
      <c r="B206" s="368"/>
      <c r="C206" s="368"/>
      <c r="D206" s="341" t="str">
        <f aca="false">+VLOOKUP($A203,BASEdades!$A$3:$AA$283,6,FALSE())</f>
        <v>.</v>
      </c>
      <c r="E206" s="348"/>
      <c r="F206" s="371"/>
      <c r="G206" s="348"/>
      <c r="H206" s="344"/>
      <c r="I206" s="370"/>
      <c r="L206" s="0"/>
      <c r="M206" s="0"/>
    </row>
    <row r="207" s="286" customFormat="true" ht="13.8" hidden="false" customHeight="false" outlineLevel="0" collapsed="false">
      <c r="B207" s="368"/>
      <c r="C207" s="368"/>
      <c r="D207" s="350" t="s">
        <v>849</v>
      </c>
      <c r="E207" s="348"/>
      <c r="F207" s="371"/>
      <c r="G207" s="348" t="n">
        <v>1</v>
      </c>
      <c r="H207" s="344"/>
      <c r="I207" s="370"/>
      <c r="L207" s="0"/>
      <c r="M207" s="0"/>
    </row>
    <row r="208" customFormat="false" ht="13.8" hidden="false" customHeight="false" outlineLevel="0" collapsed="false">
      <c r="B208" s="361"/>
      <c r="C208" s="361"/>
      <c r="D208" s="351"/>
      <c r="E208" s="352"/>
      <c r="F208" s="372"/>
      <c r="G208" s="352"/>
      <c r="H208" s="359"/>
      <c r="I208" s="366"/>
    </row>
    <row r="209" s="286" customFormat="true" ht="13.8" hidden="false" customHeight="false" outlineLevel="0" collapsed="false">
      <c r="A209" s="329" t="s">
        <v>576</v>
      </c>
      <c r="B209" s="337" t="s">
        <v>908</v>
      </c>
      <c r="C209" s="337" t="str">
        <f aca="false">+VLOOKUP($A209,BASEdades!$A$3:$AA$283,3,FALSE())</f>
        <v>ut</v>
      </c>
      <c r="D209" s="367" t="str">
        <f aca="false">+VLOOKUP($A209,BASEdades!$A$3:$AA$298,2,FALSE())</f>
        <v>Font amb tronc</v>
      </c>
      <c r="E209" s="338"/>
      <c r="F209" s="338"/>
      <c r="G209" s="339" t="n">
        <f aca="false">SUM(G212:G213)</f>
        <v>2</v>
      </c>
      <c r="H209" s="340" t="n">
        <f aca="false">+VLOOKUP($A209,BASEdades!$A$3:$AA$283,7,FALSE())</f>
        <v>735.73</v>
      </c>
      <c r="I209" s="340" t="n">
        <f aca="false">G209*H209</f>
        <v>1471.46</v>
      </c>
      <c r="L209" s="0"/>
      <c r="M209" s="0"/>
    </row>
    <row r="210" s="286" customFormat="true" ht="68.65" hidden="false" customHeight="false" outlineLevel="0" collapsed="false">
      <c r="B210" s="368"/>
      <c r="C210" s="368"/>
      <c r="D210" s="353" t="str">
        <f aca="false">+VLOOKUP($A209,BASEdades!$A$3:$AA$283,4,FALSE())</f>
        <v>Subministrament i instal·lació de font feta amb tronc de fusta d'acàcia inspirada amb la natura i les seves formes. Inclou instal·lació de pericó prefabricat de poliopropile  de 300x300x300 registrable amb tapa cega de pvc reforçada i col·locada. Inclou connexió  a l'escomesa de max. 3m.</v>
      </c>
      <c r="E210" s="341"/>
      <c r="F210" s="341"/>
      <c r="G210" s="369"/>
      <c r="H210" s="344"/>
      <c r="I210" s="370"/>
      <c r="L210" s="0"/>
      <c r="M210" s="0"/>
    </row>
    <row r="211" s="286" customFormat="true" ht="14.9" hidden="false" customHeight="false" outlineLevel="0" collapsed="false">
      <c r="B211" s="368"/>
      <c r="C211" s="368"/>
      <c r="D211" s="341" t="str">
        <f aca="false">+VLOOKUP($A209,BASEdades!$A$3:$AA$283,5,FALSE())</f>
        <v>.mides: 26x26x110 cm</v>
      </c>
      <c r="E211" s="341"/>
      <c r="F211" s="341"/>
      <c r="G211" s="369"/>
      <c r="H211" s="344"/>
      <c r="I211" s="370"/>
      <c r="L211" s="0"/>
      <c r="M211" s="0"/>
    </row>
    <row r="212" s="286" customFormat="true" ht="14.9" hidden="false" customHeight="false" outlineLevel="0" collapsed="false">
      <c r="B212" s="368"/>
      <c r="C212" s="368"/>
      <c r="D212" s="341" t="str">
        <f aca="false">+VLOOKUP($A209,BASEdades!$A$3:$AA$283,6,FALSE())</f>
        <v>.</v>
      </c>
      <c r="E212" s="348"/>
      <c r="F212" s="371"/>
      <c r="G212" s="348"/>
      <c r="H212" s="344"/>
      <c r="I212" s="370"/>
      <c r="L212" s="0"/>
      <c r="M212" s="0"/>
    </row>
    <row r="213" s="286" customFormat="true" ht="13.8" hidden="false" customHeight="false" outlineLevel="0" collapsed="false">
      <c r="A213" s="286" t="s">
        <v>13</v>
      </c>
      <c r="B213" s="368"/>
      <c r="C213" s="368"/>
      <c r="D213" s="350" t="s">
        <v>849</v>
      </c>
      <c r="E213" s="348"/>
      <c r="F213" s="371"/>
      <c r="G213" s="348" t="n">
        <v>2</v>
      </c>
      <c r="H213" s="344"/>
      <c r="I213" s="370"/>
      <c r="L213" s="0"/>
      <c r="M213" s="0"/>
    </row>
    <row r="214" customFormat="false" ht="13.8" hidden="false" customHeight="false" outlineLevel="0" collapsed="false">
      <c r="B214" s="361"/>
      <c r="C214" s="361"/>
      <c r="D214" s="351"/>
      <c r="E214" s="352"/>
      <c r="F214" s="372"/>
      <c r="G214" s="352"/>
      <c r="H214" s="359"/>
      <c r="I214" s="366"/>
    </row>
    <row r="215" s="286" customFormat="true" ht="13.8" hidden="false" customHeight="false" outlineLevel="0" collapsed="false">
      <c r="A215" s="329" t="s">
        <v>588</v>
      </c>
      <c r="B215" s="337" t="s">
        <v>909</v>
      </c>
      <c r="C215" s="337" t="str">
        <f aca="false">+VLOOKUP($A215,BASEdades!$A$3:$AA$283,3,FALSE())</f>
        <v>ut</v>
      </c>
      <c r="D215" s="367" t="str">
        <f aca="false">+VLOOKUP($A215,BASEdades!$A$3:$AA$298,2,FALSE())</f>
        <v>Circuit d'aigua</v>
      </c>
      <c r="E215" s="338"/>
      <c r="F215" s="338"/>
      <c r="G215" s="339" t="n">
        <f aca="false">SUM(G218:G219)</f>
        <v>1</v>
      </c>
      <c r="H215" s="340" t="n">
        <f aca="false">+VLOOKUP($A215,BASEdades!$A$3:$AA$283,7,FALSE())</f>
        <v>1450</v>
      </c>
      <c r="I215" s="340" t="n">
        <f aca="false">G215*H215</f>
        <v>1450</v>
      </c>
      <c r="L215" s="0"/>
      <c r="M215" s="0"/>
    </row>
    <row r="216" s="286" customFormat="true" ht="41.75" hidden="false" customHeight="false" outlineLevel="0" collapsed="false">
      <c r="B216" s="368"/>
      <c r="C216" s="368"/>
      <c r="D216" s="353" t="str">
        <f aca="false">+VLOOKUP($A215,BASEdades!$A$3:$AA$283,4,FALSE())</f>
        <v>Subministrament i instal·lació de circuit d'aigua per a exterior format per un conjunt de troncs de fusta d'acàcia i dues plataformes de taulell de carrosser. </v>
      </c>
      <c r="E216" s="341"/>
      <c r="F216" s="341"/>
      <c r="G216" s="369"/>
      <c r="H216" s="344"/>
      <c r="I216" s="370"/>
      <c r="L216" s="0"/>
      <c r="M216" s="0"/>
    </row>
    <row r="217" s="286" customFormat="true" ht="14.9" hidden="false" customHeight="false" outlineLevel="0" collapsed="false">
      <c r="B217" s="368"/>
      <c r="C217" s="368"/>
      <c r="D217" s="341" t="str">
        <f aca="false">+VLOOKUP($A215,BASEdades!$A$3:$AA$283,5,FALSE())</f>
        <v>.mides: 3 canals de 140cm i 2 plataforma</v>
      </c>
      <c r="E217" s="341"/>
      <c r="F217" s="341"/>
      <c r="G217" s="369"/>
      <c r="H217" s="344"/>
      <c r="I217" s="370"/>
      <c r="L217" s="0"/>
      <c r="M217" s="0"/>
    </row>
    <row r="218" s="286" customFormat="true" ht="14.9" hidden="false" customHeight="false" outlineLevel="0" collapsed="false">
      <c r="B218" s="368"/>
      <c r="C218" s="368"/>
      <c r="D218" s="341" t="str">
        <f aca="false">+VLOOKUP($A215,BASEdades!$A$3:$AA$283,6,FALSE())</f>
        <v>.</v>
      </c>
      <c r="E218" s="348"/>
      <c r="F218" s="371"/>
      <c r="G218" s="348"/>
      <c r="H218" s="344"/>
      <c r="I218" s="370"/>
      <c r="L218" s="0"/>
      <c r="M218" s="0"/>
    </row>
    <row r="219" s="286" customFormat="true" ht="13.8" hidden="false" customHeight="false" outlineLevel="0" collapsed="false">
      <c r="B219" s="368"/>
      <c r="C219" s="368"/>
      <c r="D219" s="350" t="s">
        <v>849</v>
      </c>
      <c r="E219" s="348"/>
      <c r="F219" s="371"/>
      <c r="G219" s="348" t="n">
        <v>1</v>
      </c>
      <c r="H219" s="344"/>
      <c r="I219" s="370"/>
      <c r="L219" s="0"/>
      <c r="M219" s="0"/>
    </row>
    <row r="220" customFormat="false" ht="13.8" hidden="false" customHeight="false" outlineLevel="0" collapsed="false">
      <c r="B220" s="361"/>
      <c r="C220" s="361"/>
      <c r="D220" s="351"/>
      <c r="E220" s="352"/>
      <c r="F220" s="372"/>
      <c r="G220" s="352"/>
      <c r="H220" s="359"/>
      <c r="I220" s="366"/>
    </row>
    <row r="221" s="286" customFormat="true" ht="13.8" hidden="false" customHeight="false" outlineLevel="0" collapsed="false">
      <c r="A221" s="329" t="s">
        <v>292</v>
      </c>
      <c r="B221" s="337" t="s">
        <v>910</v>
      </c>
      <c r="C221" s="337" t="str">
        <f aca="false">+VLOOKUP($A221,BASEdades!$A$3:$AA$283,3,FALSE())</f>
        <v>ut</v>
      </c>
      <c r="D221" s="367" t="str">
        <f aca="false">+VLOOKUP($A221,BASEdades!$A$3:$AA$298,2,FALSE())</f>
        <v>Rotllo de fibra de coco</v>
      </c>
      <c r="E221" s="338"/>
      <c r="F221" s="338"/>
      <c r="G221" s="339" t="n">
        <f aca="false">SUM(G224:G226)</f>
        <v>7</v>
      </c>
      <c r="H221" s="340" t="n">
        <f aca="false">+VLOOKUP($A221,BASEdades!$A$3:$AA$283,7,FALSE())</f>
        <v>184.5</v>
      </c>
      <c r="I221" s="340" t="n">
        <f aca="false">G221*H221</f>
        <v>1291.5</v>
      </c>
      <c r="L221" s="0"/>
      <c r="M221" s="0"/>
    </row>
    <row r="222" s="286" customFormat="true" ht="32.25" hidden="false" customHeight="true" outlineLevel="0" collapsed="false">
      <c r="B222" s="368"/>
      <c r="C222" s="368"/>
      <c r="D222" s="353" t="str">
        <f aca="false">+VLOOKUP($A221,BASEdades!$A$3:$AA$283,4,FALSE())</f>
        <v>Subministrament i instal·lació de rotllo de fibra de coco d'alta densitat compactada i estructurada en una xarxa de polipropilè.  </v>
      </c>
      <c r="E222" s="341"/>
      <c r="F222" s="341"/>
      <c r="G222" s="369"/>
      <c r="H222" s="344"/>
      <c r="I222" s="370"/>
      <c r="L222" s="0"/>
      <c r="M222" s="0"/>
    </row>
    <row r="223" s="286" customFormat="true" ht="14.9" hidden="false" customHeight="false" outlineLevel="0" collapsed="false">
      <c r="B223" s="368"/>
      <c r="C223" s="368"/>
      <c r="D223" s="341" t="str">
        <f aca="false">+VLOOKUP($A221,BASEdades!$A$3:$AA$283,5,FALSE())</f>
        <v>.mides: 300cm x 30cm diàmetre</v>
      </c>
      <c r="E223" s="341"/>
      <c r="F223" s="341"/>
      <c r="G223" s="369"/>
      <c r="H223" s="344"/>
      <c r="I223" s="370"/>
      <c r="L223" s="0"/>
      <c r="M223" s="0"/>
    </row>
    <row r="224" s="286" customFormat="true" ht="14.9" hidden="false" customHeight="false" outlineLevel="0" collapsed="false">
      <c r="B224" s="368"/>
      <c r="C224" s="368"/>
      <c r="D224" s="341" t="str">
        <f aca="false">+VLOOKUP($A221,BASEdades!$A$3:$AA$283,6,FALSE())</f>
        <v>.</v>
      </c>
      <c r="E224" s="348"/>
      <c r="F224" s="371"/>
      <c r="G224" s="348"/>
      <c r="H224" s="344"/>
      <c r="I224" s="370"/>
      <c r="L224" s="0"/>
      <c r="M224" s="0"/>
    </row>
    <row r="225" s="286" customFormat="true" ht="13.8" hidden="false" customHeight="false" outlineLevel="0" collapsed="false">
      <c r="B225" s="368"/>
      <c r="C225" s="368"/>
      <c r="D225" s="350" t="s">
        <v>911</v>
      </c>
      <c r="E225" s="348"/>
      <c r="F225" s="371"/>
      <c r="G225" s="348" t="n">
        <v>4</v>
      </c>
      <c r="H225" s="344"/>
      <c r="I225" s="370"/>
      <c r="L225" s="0"/>
      <c r="M225" s="0"/>
    </row>
    <row r="226" s="286" customFormat="true" ht="13.8" hidden="false" customHeight="false" outlineLevel="0" collapsed="false">
      <c r="B226" s="368"/>
      <c r="C226" s="368"/>
      <c r="D226" s="350" t="s">
        <v>912</v>
      </c>
      <c r="E226" s="348"/>
      <c r="F226" s="371"/>
      <c r="G226" s="348" t="n">
        <v>3</v>
      </c>
      <c r="H226" s="344"/>
      <c r="I226" s="370"/>
      <c r="L226" s="0"/>
      <c r="M226" s="0"/>
    </row>
    <row r="227" customFormat="false" ht="13.8" hidden="false" customHeight="false" outlineLevel="0" collapsed="false">
      <c r="B227" s="361"/>
      <c r="C227" s="361"/>
      <c r="D227" s="351"/>
      <c r="E227" s="352"/>
      <c r="F227" s="372"/>
      <c r="G227" s="352"/>
      <c r="H227" s="359"/>
      <c r="I227" s="366"/>
    </row>
    <row r="228" s="286" customFormat="true" ht="13.8" hidden="false" customHeight="false" outlineLevel="0" collapsed="false">
      <c r="A228" s="329" t="s">
        <v>321</v>
      </c>
      <c r="B228" s="337" t="s">
        <v>913</v>
      </c>
      <c r="C228" s="337" t="str">
        <f aca="false">+VLOOKUP($A228,BASEdades!$A$3:$AA$283,3,FALSE())</f>
        <v>ut</v>
      </c>
      <c r="D228" s="367" t="str">
        <f aca="false">+VLOOKUP($A228,BASEdades!$A$3:$AA$298,2,FALSE())</f>
        <v>Rampa de tronc d'acàcia</v>
      </c>
      <c r="E228" s="338"/>
      <c r="F228" s="338"/>
      <c r="G228" s="339" t="n">
        <f aca="false">SUM(G231:G232)</f>
        <v>1</v>
      </c>
      <c r="H228" s="340" t="n">
        <f aca="false">+VLOOKUP($A228,BASEdades!$A$3:$AA$283,7,FALSE())</f>
        <v>154</v>
      </c>
      <c r="I228" s="340" t="n">
        <f aca="false">G228*H228</f>
        <v>154</v>
      </c>
      <c r="L228" s="0"/>
      <c r="M228" s="0"/>
    </row>
    <row r="229" s="286" customFormat="true" ht="14.9" hidden="false" customHeight="false" outlineLevel="0" collapsed="false">
      <c r="B229" s="368"/>
      <c r="C229" s="368"/>
      <c r="D229" s="353" t="str">
        <f aca="false">+VLOOKUP($A228,BASEdades!$A$3:$AA$283,4,FALSE())</f>
        <v>Subministrament i col.locació de rampa de fusta d'acàcia</v>
      </c>
      <c r="E229" s="341"/>
      <c r="F229" s="341"/>
      <c r="G229" s="369"/>
      <c r="H229" s="344"/>
      <c r="I229" s="370"/>
      <c r="L229" s="0"/>
      <c r="M229" s="0"/>
    </row>
    <row r="230" s="286" customFormat="true" ht="14.9" hidden="false" customHeight="false" outlineLevel="0" collapsed="false">
      <c r="B230" s="368"/>
      <c r="C230" s="368"/>
      <c r="D230" s="341" t="str">
        <f aca="false">+VLOOKUP($A228,BASEdades!$A$3:$AA$283,5,FALSE())</f>
        <v>.mides: 120x45cm</v>
      </c>
      <c r="E230" s="341"/>
      <c r="F230" s="341"/>
      <c r="G230" s="369"/>
      <c r="H230" s="344"/>
      <c r="I230" s="370"/>
      <c r="L230" s="0"/>
      <c r="M230" s="0"/>
    </row>
    <row r="231" s="286" customFormat="true" ht="14.9" hidden="false" customHeight="false" outlineLevel="0" collapsed="false">
      <c r="B231" s="368"/>
      <c r="C231" s="368"/>
      <c r="D231" s="341" t="str">
        <f aca="false">+VLOOKUP($A228,BASEdades!$A$3:$AA$283,6,FALSE())</f>
        <v>.</v>
      </c>
      <c r="E231" s="348"/>
      <c r="F231" s="371"/>
      <c r="G231" s="348"/>
      <c r="H231" s="344"/>
      <c r="I231" s="370"/>
      <c r="L231" s="0"/>
      <c r="M231" s="0"/>
    </row>
    <row r="232" s="286" customFormat="true" ht="13.8" hidden="false" customHeight="false" outlineLevel="0" collapsed="false">
      <c r="B232" s="368"/>
      <c r="C232" s="368"/>
      <c r="D232" s="350" t="s">
        <v>914</v>
      </c>
      <c r="E232" s="348"/>
      <c r="F232" s="371"/>
      <c r="G232" s="348" t="n">
        <v>1</v>
      </c>
      <c r="H232" s="344"/>
      <c r="I232" s="370"/>
      <c r="L232" s="0"/>
      <c r="M232" s="0"/>
    </row>
    <row r="233" customFormat="false" ht="13.8" hidden="false" customHeight="false" outlineLevel="0" collapsed="false">
      <c r="B233" s="361"/>
      <c r="C233" s="361"/>
      <c r="D233" s="351"/>
      <c r="E233" s="352"/>
      <c r="F233" s="372"/>
      <c r="G233" s="352"/>
      <c r="H233" s="359"/>
      <c r="I233" s="366"/>
    </row>
    <row r="234" s="286" customFormat="true" ht="13.8" hidden="false" customHeight="false" outlineLevel="0" collapsed="false">
      <c r="A234" s="329" t="s">
        <v>545</v>
      </c>
      <c r="B234" s="337" t="s">
        <v>915</v>
      </c>
      <c r="C234" s="337" t="str">
        <f aca="false">+VLOOKUP($A234,BASEdades!$A$3:$AA$283,3,FALSE())</f>
        <v>ut</v>
      </c>
      <c r="D234" s="367" t="str">
        <f aca="false">+VLOOKUP($A234,BASEdades!$A$3:$AA$298,2,FALSE())</f>
        <v>Tipi hexagonal petit</v>
      </c>
      <c r="E234" s="338"/>
      <c r="F234" s="338"/>
      <c r="G234" s="339" t="n">
        <v>1</v>
      </c>
      <c r="H234" s="340" t="n">
        <f aca="false">+VLOOKUP($A234,BASEdades!$A$3:$AA$283,7,FALSE())</f>
        <v>2355.4</v>
      </c>
      <c r="I234" s="340" t="n">
        <f aca="false">G234*H234</f>
        <v>2355.4</v>
      </c>
      <c r="L234" s="0"/>
      <c r="M234" s="0"/>
    </row>
    <row r="235" s="286" customFormat="true" ht="28.35" hidden="false" customHeight="false" outlineLevel="0" collapsed="false">
      <c r="B235" s="368"/>
      <c r="C235" s="368"/>
      <c r="D235" s="353" t="str">
        <f aca="false">+VLOOKUP($A234,BASEdades!$A$3:$AA$283,4,FALSE())</f>
        <v>Subministrament i instal.lació de cabana de fusta amb forma de tipi de sis costats per a exterior. </v>
      </c>
      <c r="E235" s="341"/>
      <c r="F235" s="341"/>
      <c r="G235" s="369"/>
      <c r="H235" s="344"/>
      <c r="I235" s="370"/>
      <c r="L235" s="0"/>
      <c r="M235" s="0"/>
    </row>
    <row r="236" s="286" customFormat="true" ht="14.9" hidden="false" customHeight="false" outlineLevel="0" collapsed="false">
      <c r="B236" s="368"/>
      <c r="C236" s="368"/>
      <c r="D236" s="341" t="str">
        <f aca="false">+VLOOKUP($A234,BASEdades!$A$3:$AA$283,5,FALSE())</f>
        <v>.mides: Diàmetre 143cm Altura 205cm</v>
      </c>
      <c r="E236" s="341"/>
      <c r="F236" s="341"/>
      <c r="G236" s="369"/>
      <c r="H236" s="344"/>
      <c r="I236" s="370"/>
      <c r="L236" s="0"/>
      <c r="M236" s="0"/>
    </row>
    <row r="237" s="286" customFormat="true" ht="14.9" hidden="false" customHeight="false" outlineLevel="0" collapsed="false">
      <c r="B237" s="368"/>
      <c r="C237" s="368"/>
      <c r="D237" s="341" t="str">
        <f aca="false">+VLOOKUP($A234,BASEdades!$A$3:$AA$283,6,FALSE())</f>
        <v>.</v>
      </c>
      <c r="E237" s="348"/>
      <c r="F237" s="371"/>
      <c r="G237" s="348"/>
      <c r="H237" s="344"/>
      <c r="I237" s="370"/>
      <c r="L237" s="0"/>
      <c r="M237" s="0"/>
    </row>
    <row r="238" customFormat="false" ht="13.8" hidden="false" customHeight="false" outlineLevel="0" collapsed="false">
      <c r="B238" s="361"/>
      <c r="C238" s="361"/>
      <c r="D238" s="362"/>
      <c r="E238" s="352"/>
      <c r="F238" s="372"/>
      <c r="G238" s="352"/>
      <c r="H238" s="359"/>
      <c r="I238" s="366"/>
    </row>
    <row r="239" s="286" customFormat="true" ht="13.8" hidden="false" customHeight="false" outlineLevel="0" collapsed="false">
      <c r="A239" s="329" t="s">
        <v>541</v>
      </c>
      <c r="B239" s="375" t="s">
        <v>916</v>
      </c>
      <c r="C239" s="337" t="str">
        <f aca="false">+VLOOKUP($A239,BASEdades!$A$3:$AA$283,3,FALSE())</f>
        <v>ut</v>
      </c>
      <c r="D239" s="367" t="str">
        <f aca="false">+VLOOKUP($A239,BASEdades!$A$3:$AA$298,2,FALSE())</f>
        <v>Cabana niu d'ocells</v>
      </c>
      <c r="E239" s="338"/>
      <c r="F239" s="338"/>
      <c r="G239" s="339" t="n">
        <v>1</v>
      </c>
      <c r="H239" s="340" t="n">
        <f aca="false">+VLOOKUP($A239,BASEdades!$A$3:$AA$283,7,FALSE())</f>
        <v>2862</v>
      </c>
      <c r="I239" s="340" t="n">
        <f aca="false">G239*H239</f>
        <v>2862</v>
      </c>
      <c r="L239" s="0"/>
      <c r="M239" s="0"/>
    </row>
    <row r="240" s="286" customFormat="true" ht="28.35" hidden="false" customHeight="false" outlineLevel="0" collapsed="false">
      <c r="B240" s="368"/>
      <c r="C240" s="368"/>
      <c r="D240" s="353" t="str">
        <f aca="false">+VLOOKUP($A239,BASEdades!$A$3:$AA$283,4,FALSE())</f>
        <v>Subministrament i instal.lació de cabana de fusta d'càcia en forma de niu d'ocell. </v>
      </c>
      <c r="E240" s="341"/>
      <c r="F240" s="341"/>
      <c r="G240" s="369"/>
      <c r="H240" s="344"/>
      <c r="I240" s="370"/>
      <c r="L240" s="0"/>
      <c r="M240" s="0"/>
    </row>
    <row r="241" s="286" customFormat="true" ht="14.9" hidden="false" customHeight="false" outlineLevel="0" collapsed="false">
      <c r="B241" s="368"/>
      <c r="C241" s="368"/>
      <c r="D241" s="341" t="str">
        <f aca="false">+VLOOKUP($A239,BASEdades!$A$3:$AA$283,5,FALSE())</f>
        <v>.mides: 120x160x125cm (h.25cm per sobre terra)</v>
      </c>
      <c r="E241" s="341"/>
      <c r="F241" s="341"/>
      <c r="G241" s="369"/>
      <c r="H241" s="344"/>
      <c r="I241" s="370"/>
      <c r="L241" s="0"/>
      <c r="M241" s="0"/>
    </row>
    <row r="242" s="286" customFormat="true" ht="14.9" hidden="false" customHeight="false" outlineLevel="0" collapsed="false">
      <c r="B242" s="368"/>
      <c r="C242" s="368"/>
      <c r="D242" s="341" t="str">
        <f aca="false">+VLOOKUP($A239,BASEdades!$A$3:$AA$283,6,FALSE())</f>
        <v>.</v>
      </c>
      <c r="E242" s="348"/>
      <c r="F242" s="371"/>
      <c r="G242" s="348"/>
      <c r="H242" s="344"/>
      <c r="I242" s="370"/>
      <c r="L242" s="0"/>
      <c r="M242" s="0"/>
    </row>
    <row r="243" customFormat="false" ht="13.8" hidden="false" customHeight="false" outlineLevel="0" collapsed="false">
      <c r="B243" s="361"/>
      <c r="C243" s="361"/>
      <c r="D243" s="362"/>
      <c r="E243" s="352"/>
      <c r="F243" s="372"/>
      <c r="G243" s="352"/>
      <c r="H243" s="359"/>
      <c r="I243" s="366"/>
    </row>
    <row r="244" s="286" customFormat="true" ht="13.8" hidden="false" customHeight="false" outlineLevel="0" collapsed="false">
      <c r="A244" s="329" t="s">
        <v>316</v>
      </c>
      <c r="B244" s="337" t="s">
        <v>917</v>
      </c>
      <c r="C244" s="337" t="str">
        <f aca="false">+VLOOKUP($A244,BASEdades!$A$3:$AA$283,3,FALSE())</f>
        <v>ut</v>
      </c>
      <c r="D244" s="367" t="str">
        <f aca="false">+VLOOKUP($A244,BASEdades!$A$3:$AA$298,2,FALSE())</f>
        <v>Xarxa per grimpar </v>
      </c>
      <c r="E244" s="338"/>
      <c r="F244" s="338"/>
      <c r="G244" s="339" t="n">
        <f aca="false">SUM(G248:G249)</f>
        <v>2</v>
      </c>
      <c r="H244" s="340" t="n">
        <f aca="false">+VLOOKUP($A244,BASEdades!$A$3:$AA$283,7,FALSE())</f>
        <v>780</v>
      </c>
      <c r="I244" s="340" t="n">
        <f aca="false">G244*H244</f>
        <v>1560</v>
      </c>
      <c r="L244" s="0"/>
      <c r="M244" s="0"/>
    </row>
    <row r="245" s="286" customFormat="true" ht="28.35" hidden="false" customHeight="false" outlineLevel="0" collapsed="false">
      <c r="B245" s="368"/>
      <c r="C245" s="368"/>
      <c r="D245" s="353" t="str">
        <f aca="false">+VLOOKUP($A244,BASEdades!$A$3:$AA$283,4,FALSE())</f>
        <v>Subministrament i instal·lació d'estructura de 4 troncs d'acàcia amb xarxa de corda. </v>
      </c>
      <c r="E245" s="341"/>
      <c r="F245" s="341"/>
      <c r="G245" s="369"/>
      <c r="H245" s="344"/>
      <c r="I245" s="370"/>
      <c r="L245" s="0"/>
      <c r="M245" s="0"/>
    </row>
    <row r="246" s="286" customFormat="true" ht="14.9" hidden="false" customHeight="false" outlineLevel="0" collapsed="false">
      <c r="B246" s="368"/>
      <c r="C246" s="368"/>
      <c r="D246" s="341" t="str">
        <f aca="false">+VLOOKUP($A244,BASEdades!$A$3:$AA$283,5,FALSE())</f>
        <v>.mides 1,8x1,80m</v>
      </c>
      <c r="E246" s="341"/>
      <c r="F246" s="341"/>
      <c r="G246" s="369"/>
      <c r="H246" s="344"/>
      <c r="I246" s="370"/>
      <c r="L246" s="0"/>
      <c r="M246" s="0"/>
    </row>
    <row r="247" s="286" customFormat="true" ht="14.9" hidden="false" customHeight="false" outlineLevel="0" collapsed="false">
      <c r="B247" s="368"/>
      <c r="C247" s="368"/>
      <c r="D247" s="341" t="str">
        <f aca="false">+VLOOKUP($A244,BASEdades!$A$3:$AA$283,6,FALSE())</f>
        <v>.</v>
      </c>
      <c r="E247" s="348"/>
      <c r="F247" s="371"/>
      <c r="G247" s="348"/>
      <c r="H247" s="344"/>
      <c r="I247" s="370"/>
      <c r="L247" s="0"/>
      <c r="M247" s="0"/>
    </row>
    <row r="248" s="286" customFormat="true" ht="13.8" hidden="false" customHeight="false" outlineLevel="0" collapsed="false">
      <c r="B248" s="368"/>
      <c r="C248" s="368"/>
      <c r="D248" s="350" t="str">
        <f aca="false">D201</f>
        <v>.zona d'equilitbri</v>
      </c>
      <c r="E248" s="348"/>
      <c r="F248" s="371"/>
      <c r="G248" s="348" t="n">
        <v>1</v>
      </c>
      <c r="H248" s="344"/>
      <c r="I248" s="370"/>
      <c r="L248" s="0"/>
      <c r="M248" s="0"/>
    </row>
    <row r="249" s="286" customFormat="true" ht="13.8" hidden="false" customHeight="false" outlineLevel="0" collapsed="false">
      <c r="B249" s="368"/>
      <c r="C249" s="368"/>
      <c r="D249" s="350" t="s">
        <v>918</v>
      </c>
      <c r="E249" s="348"/>
      <c r="F249" s="371"/>
      <c r="G249" s="348" t="n">
        <v>1</v>
      </c>
      <c r="H249" s="344"/>
      <c r="I249" s="370"/>
      <c r="L249" s="0"/>
      <c r="M249" s="0"/>
    </row>
    <row r="250" customFormat="false" ht="13.8" hidden="false" customHeight="false" outlineLevel="0" collapsed="false">
      <c r="B250" s="361"/>
      <c r="C250" s="361"/>
      <c r="D250" s="351"/>
      <c r="E250" s="352"/>
      <c r="F250" s="372"/>
      <c r="G250" s="352"/>
      <c r="H250" s="359"/>
      <c r="I250" s="366"/>
    </row>
    <row r="251" s="286" customFormat="true" ht="13.8" hidden="false" customHeight="false" outlineLevel="0" collapsed="false">
      <c r="A251" s="329" t="s">
        <v>528</v>
      </c>
      <c r="B251" s="337" t="s">
        <v>919</v>
      </c>
      <c r="C251" s="337" t="str">
        <f aca="false">+VLOOKUP($A251,BASEdades!$A$3:$AA$283,3,FALSE())</f>
        <v>ut</v>
      </c>
      <c r="D251" s="367" t="str">
        <f aca="false">+VLOOKUP($A251,BASEdades!$A$3:$AA$298,2,FALSE())</f>
        <v>Cabana de fusta</v>
      </c>
      <c r="E251" s="338"/>
      <c r="F251" s="338"/>
      <c r="G251" s="339" t="n">
        <v>1</v>
      </c>
      <c r="H251" s="340" t="n">
        <f aca="false">+VLOOKUP($A251,BASEdades!$A$3:$AA$283,7,FALSE())</f>
        <v>1636.37</v>
      </c>
      <c r="I251" s="340" t="n">
        <f aca="false">G251*H251</f>
        <v>1636.37</v>
      </c>
      <c r="L251" s="0"/>
      <c r="M251" s="0"/>
    </row>
    <row r="252" s="286" customFormat="true" ht="28.35" hidden="false" customHeight="false" outlineLevel="0" collapsed="false">
      <c r="B252" s="368"/>
      <c r="C252" s="368"/>
      <c r="D252" s="353" t="str">
        <f aca="false">+VLOOKUP($A251,BASEdades!$A$3:$AA$283,4,FALSE())</f>
        <v>Subministrament i instal.lació de cabana de fusta amb teulada a dues aigües i finestres.</v>
      </c>
      <c r="E252" s="341"/>
      <c r="F252" s="341"/>
      <c r="G252" s="369"/>
      <c r="H252" s="344"/>
      <c r="I252" s="370"/>
      <c r="L252" s="0"/>
      <c r="M252" s="0"/>
    </row>
    <row r="253" s="286" customFormat="true" ht="14.9" hidden="false" customHeight="false" outlineLevel="0" collapsed="false">
      <c r="B253" s="368"/>
      <c r="C253" s="368"/>
      <c r="D253" s="341" t="str">
        <f aca="false">+VLOOKUP($A251,BASEdades!$A$3:$AA$283,5,FALSE())</f>
        <v>.mides: 140x160x155cm</v>
      </c>
      <c r="E253" s="341"/>
      <c r="F253" s="341"/>
      <c r="G253" s="369"/>
      <c r="H253" s="344"/>
      <c r="I253" s="370"/>
      <c r="L253" s="0"/>
      <c r="M253" s="0"/>
    </row>
    <row r="254" s="286" customFormat="true" ht="14.9" hidden="false" customHeight="false" outlineLevel="0" collapsed="false">
      <c r="B254" s="368"/>
      <c r="C254" s="368"/>
      <c r="D254" s="341" t="str">
        <f aca="false">+VLOOKUP($A251,BASEdades!$A$3:$AA$283,6,FALSE())</f>
        <v>.</v>
      </c>
      <c r="E254" s="348"/>
      <c r="F254" s="371"/>
      <c r="G254" s="348"/>
      <c r="H254" s="344"/>
      <c r="I254" s="370"/>
      <c r="L254" s="0"/>
      <c r="M254" s="0"/>
    </row>
    <row r="255" customFormat="false" ht="13.8" hidden="false" customHeight="false" outlineLevel="0" collapsed="false">
      <c r="B255" s="361"/>
      <c r="C255" s="361"/>
      <c r="D255" s="362"/>
      <c r="E255" s="352"/>
      <c r="F255" s="372"/>
      <c r="G255" s="352"/>
      <c r="H255" s="359"/>
      <c r="I255" s="366"/>
    </row>
    <row r="256" s="286" customFormat="true" ht="13.8" hidden="false" customHeight="false" outlineLevel="0" collapsed="false">
      <c r="A256" s="329" t="s">
        <v>479</v>
      </c>
      <c r="B256" s="337" t="s">
        <v>920</v>
      </c>
      <c r="C256" s="337" t="str">
        <f aca="false">+VLOOKUP($A256,BASEdades!$A$3:$AA$283,3,FALSE())</f>
        <v>ut</v>
      </c>
      <c r="D256" s="367" t="str">
        <f aca="false">+VLOOKUP($A256,BASEdades!$A$3:$AA$298,2,FALSE())</f>
        <v>Banc de mig tronc petit</v>
      </c>
      <c r="E256" s="338"/>
      <c r="F256" s="338"/>
      <c r="G256" s="339" t="n">
        <v>4</v>
      </c>
      <c r="H256" s="340" t="n">
        <f aca="false">+VLOOKUP($A256,BASEdades!$A$3:$AA$283,7,FALSE())</f>
        <v>227.48</v>
      </c>
      <c r="I256" s="340" t="n">
        <f aca="false">G256*H256</f>
        <v>909.92</v>
      </c>
      <c r="L256" s="0"/>
      <c r="M256" s="0"/>
    </row>
    <row r="257" s="286" customFormat="true" ht="28.35" hidden="false" customHeight="false" outlineLevel="0" collapsed="false">
      <c r="B257" s="368"/>
      <c r="C257" s="368"/>
      <c r="D257" s="353" t="str">
        <f aca="false">+VLOOKUP($A256,BASEdades!$A$3:$AA$283,4,FALSE())</f>
        <v>Subministrament i instal·lació de banc fet amb mig tronc d'acàcia</v>
      </c>
      <c r="E257" s="341"/>
      <c r="F257" s="341"/>
      <c r="G257" s="369"/>
      <c r="H257" s="344"/>
      <c r="I257" s="370"/>
      <c r="L257" s="0"/>
      <c r="M257" s="0"/>
    </row>
    <row r="258" s="286" customFormat="true" ht="14.9" hidden="false" customHeight="false" outlineLevel="0" collapsed="false">
      <c r="B258" s="368"/>
      <c r="C258" s="368"/>
      <c r="D258" s="341" t="str">
        <f aca="false">+VLOOKUP($A256,BASEdades!$A$3:$AA$283,5,FALSE())</f>
        <v>.mides: 80x25x30 cm</v>
      </c>
      <c r="E258" s="341"/>
      <c r="F258" s="341"/>
      <c r="G258" s="369"/>
      <c r="H258" s="344"/>
      <c r="I258" s="370"/>
      <c r="L258" s="0"/>
      <c r="M258" s="0"/>
    </row>
    <row r="259" s="286" customFormat="true" ht="14.9" hidden="false" customHeight="false" outlineLevel="0" collapsed="false">
      <c r="B259" s="368"/>
      <c r="C259" s="368"/>
      <c r="D259" s="341" t="str">
        <f aca="false">+VLOOKUP($A256,BASEdades!$A$3:$AA$283,6,FALSE())</f>
        <v>.</v>
      </c>
      <c r="E259" s="341"/>
      <c r="F259" s="341"/>
      <c r="G259" s="369"/>
      <c r="H259" s="344"/>
      <c r="I259" s="370"/>
      <c r="L259" s="0"/>
      <c r="M259" s="0"/>
    </row>
    <row r="260" s="286" customFormat="true" ht="13.8" hidden="false" customHeight="false" outlineLevel="0" collapsed="false">
      <c r="B260" s="368"/>
      <c r="C260" s="368"/>
      <c r="D260" s="376"/>
      <c r="E260" s="348"/>
      <c r="F260" s="371"/>
      <c r="G260" s="348"/>
      <c r="H260" s="344"/>
      <c r="I260" s="370"/>
      <c r="L260" s="0"/>
      <c r="M260" s="0"/>
    </row>
    <row r="261" s="286" customFormat="true" ht="13.8" hidden="false" customHeight="false" outlineLevel="0" collapsed="false">
      <c r="A261" s="329" t="s">
        <v>424</v>
      </c>
      <c r="B261" s="337" t="s">
        <v>921</v>
      </c>
      <c r="C261" s="337" t="str">
        <f aca="false">+VLOOKUP($A261,BASEdades!$A$3:$AA$283,3,FALSE())</f>
        <v>ut</v>
      </c>
      <c r="D261" s="367" t="str">
        <f aca="false">+VLOOKUP($A261,BASEdades!$A$3:$AA$298,2,FALSE())</f>
        <v>Pont mòbil de fusta </v>
      </c>
      <c r="E261" s="338"/>
      <c r="F261" s="338"/>
      <c r="G261" s="339" t="n">
        <v>1</v>
      </c>
      <c r="H261" s="340" t="n">
        <f aca="false">+VLOOKUP($A261,BASEdades!$A$3:$AA$283,7,FALSE())</f>
        <v>876.67</v>
      </c>
      <c r="I261" s="340" t="n">
        <f aca="false">G261*H261</f>
        <v>876.67</v>
      </c>
      <c r="L261" s="0"/>
      <c r="M261" s="0"/>
    </row>
    <row r="262" s="286" customFormat="true" ht="28.35" hidden="false" customHeight="false" outlineLevel="0" collapsed="false">
      <c r="B262" s="368"/>
      <c r="C262" s="368"/>
      <c r="D262" s="353" t="str">
        <f aca="false">+VLOOKUP($A261,BASEdades!$A$3:$AA$283,4,FALSE())</f>
        <v>Subministrament i instal·lació d'estructura de fusta amb una plataforma mòbil amb baranes de fusta i cordes.</v>
      </c>
      <c r="E262" s="341"/>
      <c r="F262" s="341"/>
      <c r="G262" s="369"/>
      <c r="H262" s="344"/>
      <c r="I262" s="370"/>
      <c r="L262" s="0"/>
      <c r="M262" s="0"/>
    </row>
    <row r="263" s="286" customFormat="true" ht="14.9" hidden="false" customHeight="false" outlineLevel="0" collapsed="false">
      <c r="B263" s="368"/>
      <c r="C263" s="368"/>
      <c r="D263" s="341" t="str">
        <f aca="false">+VLOOKUP($A261,BASEdades!$A$3:$AA$283,5,FALSE())</f>
        <v>.mides:147 x 70 x 70cm</v>
      </c>
      <c r="E263" s="341"/>
      <c r="F263" s="341"/>
      <c r="G263" s="369"/>
      <c r="H263" s="344"/>
      <c r="I263" s="370"/>
      <c r="L263" s="0"/>
      <c r="M263" s="0"/>
    </row>
    <row r="264" s="286" customFormat="true" ht="14.9" hidden="false" customHeight="false" outlineLevel="0" collapsed="false">
      <c r="B264" s="368"/>
      <c r="C264" s="368"/>
      <c r="D264" s="341" t="str">
        <f aca="false">+VLOOKUP($A261,BASEdades!$A$3:$AA$283,6,FALSE())</f>
        <v>.</v>
      </c>
      <c r="E264" s="341"/>
      <c r="F264" s="341"/>
      <c r="G264" s="369"/>
      <c r="H264" s="344"/>
      <c r="I264" s="370"/>
      <c r="L264" s="0"/>
      <c r="M264" s="0"/>
    </row>
    <row r="265" s="286" customFormat="true" ht="13.8" hidden="false" customHeight="false" outlineLevel="0" collapsed="false">
      <c r="B265" s="368"/>
      <c r="C265" s="368"/>
      <c r="D265" s="376"/>
      <c r="E265" s="348"/>
      <c r="F265" s="371"/>
      <c r="G265" s="348"/>
      <c r="H265" s="344"/>
      <c r="I265" s="370"/>
      <c r="L265" s="0"/>
      <c r="M265" s="0"/>
    </row>
    <row r="266" s="286" customFormat="true" ht="13.8" hidden="false" customHeight="false" outlineLevel="0" collapsed="false">
      <c r="A266" s="329" t="s">
        <v>280</v>
      </c>
      <c r="B266" s="337" t="s">
        <v>922</v>
      </c>
      <c r="C266" s="337" t="str">
        <f aca="false">+VLOOKUP($A266,BASEdades!$A$3:$AA$283,3,FALSE())</f>
        <v>ut</v>
      </c>
      <c r="D266" s="367" t="str">
        <f aca="false">+VLOOKUP($A266,BASEdades!$A$3:$AA$298,2,FALSE())</f>
        <v>Pedres gran format</v>
      </c>
      <c r="E266" s="338"/>
      <c r="F266" s="338"/>
      <c r="G266" s="339" t="n">
        <v>6</v>
      </c>
      <c r="H266" s="340" t="n">
        <f aca="false">+VLOOKUP($A266,BASEdades!$A$3:$AA$283,7,FALSE())</f>
        <v>75</v>
      </c>
      <c r="I266" s="340" t="n">
        <f aca="false">G266*H266</f>
        <v>450</v>
      </c>
      <c r="L266" s="0"/>
      <c r="M266" s="0"/>
    </row>
    <row r="267" s="286" customFormat="true" ht="68.65" hidden="false" customHeight="false" outlineLevel="0" collapsed="false">
      <c r="B267" s="368"/>
      <c r="C267" s="368"/>
      <c r="D267" s="353" t="str">
        <f aca="false">+VLOOKUP($A266,BASEdades!$A$3:$AA$283,4,FALSE())</f>
        <v>Subministrament i instal·lació de pedres tipus bolo de riu de 200&gt;400kg col·locada sobre el terreny. Inclou p/p de replanteig, excavació manual del terreny, selecció, replé i compactació del terreny contigu i eliminació i neteja del material sobrant.</v>
      </c>
      <c r="E267" s="341"/>
      <c r="F267" s="341"/>
      <c r="G267" s="369"/>
      <c r="H267" s="344"/>
      <c r="I267" s="370"/>
      <c r="L267" s="0"/>
      <c r="M267" s="0"/>
    </row>
    <row r="268" s="286" customFormat="true" ht="14.9" hidden="false" customHeight="false" outlineLevel="0" collapsed="false">
      <c r="B268" s="368"/>
      <c r="C268" s="368"/>
      <c r="D268" s="341" t="str">
        <f aca="false">+VLOOKUP($A266,BASEdades!$A$3:$AA$283,5,FALSE())</f>
        <v>pedres grans: 80/120cm diàmetre. </v>
      </c>
      <c r="E268" s="341"/>
      <c r="F268" s="341"/>
      <c r="G268" s="369"/>
      <c r="H268" s="344"/>
      <c r="I268" s="370"/>
      <c r="L268" s="0"/>
      <c r="M268" s="0"/>
    </row>
    <row r="269" s="286" customFormat="true" ht="14.9" hidden="false" customHeight="false" outlineLevel="0" collapsed="false">
      <c r="B269" s="368"/>
      <c r="C269" s="368"/>
      <c r="D269" s="341" t="str">
        <f aca="false">+VLOOKUP($A266,BASEdades!$A$3:$AA$283,6,FALSE())</f>
        <v>.</v>
      </c>
      <c r="E269" s="341"/>
      <c r="F269" s="341"/>
      <c r="G269" s="369"/>
      <c r="H269" s="344"/>
      <c r="I269" s="370"/>
      <c r="L269" s="0"/>
      <c r="M269" s="0"/>
    </row>
    <row r="270" s="286" customFormat="true" ht="13.8" hidden="false" customHeight="false" outlineLevel="0" collapsed="false">
      <c r="B270" s="368"/>
      <c r="C270" s="368"/>
      <c r="D270" s="376"/>
      <c r="E270" s="348"/>
      <c r="F270" s="371"/>
      <c r="G270" s="348"/>
      <c r="H270" s="344"/>
      <c r="I270" s="370"/>
      <c r="L270" s="0"/>
      <c r="M270" s="0"/>
    </row>
    <row r="271" s="286" customFormat="true" ht="13.8" hidden="false" customHeight="false" outlineLevel="0" collapsed="false">
      <c r="A271" s="329" t="s">
        <v>284</v>
      </c>
      <c r="B271" s="337" t="s">
        <v>923</v>
      </c>
      <c r="C271" s="337" t="str">
        <f aca="false">+VLOOKUP($A271,BASEdades!$A$3:$AA$283,3,FALSE())</f>
        <v>ut</v>
      </c>
      <c r="D271" s="367" t="str">
        <f aca="false">+VLOOKUP($A271,BASEdades!$A$3:$AA$298,2,FALSE())</f>
        <v>Pedres mitjanes</v>
      </c>
      <c r="E271" s="338"/>
      <c r="F271" s="338"/>
      <c r="G271" s="339" t="n">
        <v>18</v>
      </c>
      <c r="H271" s="340" t="n">
        <f aca="false">+VLOOKUP($A271,BASEdades!$A$3:$AA$283,7,FALSE())</f>
        <v>34</v>
      </c>
      <c r="I271" s="340" t="n">
        <f aca="false">G271*H271</f>
        <v>612</v>
      </c>
      <c r="L271" s="0"/>
      <c r="M271" s="0"/>
    </row>
    <row r="272" s="286" customFormat="true" ht="55.2" hidden="false" customHeight="false" outlineLevel="0" collapsed="false">
      <c r="B272" s="368"/>
      <c r="C272" s="368"/>
      <c r="D272" s="353" t="str">
        <f aca="false">+VLOOKUP($A271,BASEdades!$A$3:$AA$283,4,FALSE())</f>
        <v>Subministrament i instal·lació de pedres tipus bolo de riu de 30&gt;40kg col·locada sobre el terreny. Inclou p/p de replanteig, excavació manual del terreny, selecció, replé i compactació del terreny contigu i eliminació i neteja del material sobrant.</v>
      </c>
      <c r="E272" s="341"/>
      <c r="F272" s="341"/>
      <c r="G272" s="369"/>
      <c r="H272" s="344"/>
      <c r="I272" s="370"/>
      <c r="L272" s="0"/>
      <c r="M272" s="0"/>
    </row>
    <row r="273" s="286" customFormat="true" ht="14.9" hidden="false" customHeight="false" outlineLevel="0" collapsed="false">
      <c r="B273" s="368"/>
      <c r="C273" s="368"/>
      <c r="D273" s="341" t="str">
        <f aca="false">+VLOOKUP($A271,BASEdades!$A$3:$AA$283,5,FALSE())</f>
        <v>pedres mitjanes: 30cm diàmetre.</v>
      </c>
      <c r="E273" s="341"/>
      <c r="F273" s="341"/>
      <c r="G273" s="369"/>
      <c r="H273" s="344"/>
      <c r="I273" s="370"/>
      <c r="L273" s="0"/>
      <c r="M273" s="0"/>
    </row>
    <row r="274" s="286" customFormat="true" ht="14.9" hidden="false" customHeight="false" outlineLevel="0" collapsed="false">
      <c r="B274" s="368"/>
      <c r="C274" s="368"/>
      <c r="D274" s="341" t="str">
        <f aca="false">+VLOOKUP($A271,BASEdades!$A$3:$AA$283,6,FALSE())</f>
        <v>.</v>
      </c>
      <c r="E274" s="341"/>
      <c r="F274" s="341"/>
      <c r="G274" s="369"/>
      <c r="H274" s="344"/>
      <c r="I274" s="370"/>
      <c r="L274" s="0"/>
      <c r="M274" s="0"/>
    </row>
    <row r="275" s="286" customFormat="true" ht="13.8" hidden="false" customHeight="false" outlineLevel="0" collapsed="false">
      <c r="B275" s="368"/>
      <c r="C275" s="368"/>
      <c r="D275" s="376"/>
      <c r="E275" s="348"/>
      <c r="F275" s="371"/>
      <c r="G275" s="348"/>
      <c r="H275" s="344"/>
      <c r="I275" s="370"/>
      <c r="L275" s="0"/>
      <c r="M275" s="0"/>
    </row>
    <row r="276" s="286" customFormat="true" ht="13.8" hidden="false" customHeight="false" outlineLevel="0" collapsed="false">
      <c r="A276" s="329" t="s">
        <v>228</v>
      </c>
      <c r="B276" s="337" t="s">
        <v>924</v>
      </c>
      <c r="C276" s="337" t="str">
        <f aca="false">+VLOOKUP($A276,BASEdades!$A$3:$AA$283,3,FALSE())</f>
        <v>m2</v>
      </c>
      <c r="D276" s="367" t="str">
        <f aca="false">+VLOOKUP($A276,BASEdades!$A$3:$AA$298,2,FALSE())</f>
        <v>Pedres planes per a camins</v>
      </c>
      <c r="E276" s="338"/>
      <c r="F276" s="338"/>
      <c r="G276" s="339" t="n">
        <v>3</v>
      </c>
      <c r="H276" s="340" t="n">
        <f aca="false">+VLOOKUP($A276,BASEdades!$A$3:$AA$283,7,FALSE())</f>
        <v>97.5</v>
      </c>
      <c r="I276" s="340" t="n">
        <f aca="false">G276*H276</f>
        <v>292.5</v>
      </c>
      <c r="L276" s="0"/>
      <c r="M276" s="0"/>
    </row>
    <row r="277" s="286" customFormat="true" ht="41.75" hidden="false" customHeight="false" outlineLevel="0" collapsed="false">
      <c r="B277" s="368"/>
      <c r="C277" s="368"/>
      <c r="D277" s="353" t="str">
        <f aca="false">+VLOOKUP($A276,BASEdades!$A$3:$AA$283,4,FALSE())</f>
        <v>Execució de paviment amb peces irregulars d'entre 20 a 40 cm de diàmetres i d'entre 3 i 4 cm d'espessor per a formació de camins. Instal.lat damunt del terreny.    </v>
      </c>
      <c r="E277" s="341"/>
      <c r="F277" s="341"/>
      <c r="G277" s="369"/>
      <c r="H277" s="344"/>
      <c r="I277" s="370"/>
      <c r="L277" s="0"/>
      <c r="M277" s="0"/>
    </row>
    <row r="278" s="286" customFormat="true" ht="14.9" hidden="false" customHeight="false" outlineLevel="0" collapsed="false">
      <c r="B278" s="368"/>
      <c r="C278" s="368"/>
      <c r="D278" s="341" t="str">
        <f aca="false">+VLOOKUP($A276,BASEdades!$A$3:$AA$283,5,FALSE())</f>
        <v>.mides: m2</v>
      </c>
      <c r="E278" s="341"/>
      <c r="F278" s="341"/>
      <c r="G278" s="369"/>
      <c r="H278" s="344"/>
      <c r="I278" s="370"/>
      <c r="L278" s="0"/>
      <c r="M278" s="0"/>
    </row>
    <row r="279" s="286" customFormat="true" ht="14.9" hidden="false" customHeight="false" outlineLevel="0" collapsed="false">
      <c r="B279" s="368"/>
      <c r="C279" s="368"/>
      <c r="D279" s="341" t="str">
        <f aca="false">+VLOOKUP($A276,BASEdades!$A$3:$AA$283,6,FALSE())</f>
        <v>.</v>
      </c>
      <c r="E279" s="341"/>
      <c r="F279" s="341"/>
      <c r="G279" s="369"/>
      <c r="H279" s="344"/>
      <c r="I279" s="370"/>
      <c r="L279" s="0"/>
      <c r="M279" s="0"/>
    </row>
    <row r="280" s="286" customFormat="true" ht="13.8" hidden="false" customHeight="false" outlineLevel="0" collapsed="false">
      <c r="B280" s="368"/>
      <c r="C280" s="368"/>
      <c r="D280" s="376"/>
      <c r="E280" s="348"/>
      <c r="F280" s="371"/>
      <c r="G280" s="348"/>
      <c r="H280" s="344"/>
      <c r="I280" s="370"/>
      <c r="L280" s="0"/>
      <c r="M280" s="0"/>
    </row>
    <row r="281" s="286" customFormat="true" ht="13.8" hidden="false" customHeight="false" outlineLevel="0" collapsed="false">
      <c r="A281" s="329" t="s">
        <v>455</v>
      </c>
      <c r="B281" s="337" t="s">
        <v>925</v>
      </c>
      <c r="C281" s="337" t="str">
        <f aca="false">+VLOOKUP($A281,BASEdades!$A$3:$AA$283,3,FALSE())</f>
        <v>ut</v>
      </c>
      <c r="D281" s="367" t="str">
        <f aca="false">+VLOOKUP($A281,BASEdades!$A$3:$AA$298,2,FALSE())</f>
        <v>Rotllana de l'esquirol</v>
      </c>
      <c r="E281" s="338"/>
      <c r="F281" s="338"/>
      <c r="G281" s="339" t="n">
        <v>1</v>
      </c>
      <c r="H281" s="340" t="n">
        <f aca="false">+VLOOKUP($A281,BASEdades!$A$3:$AA$283,7,FALSE())</f>
        <v>554</v>
      </c>
      <c r="I281" s="340" t="n">
        <f aca="false">G281*H281</f>
        <v>554</v>
      </c>
      <c r="L281" s="0"/>
      <c r="M281" s="0"/>
    </row>
    <row r="282" s="286" customFormat="true" ht="82.05" hidden="false" customHeight="false" outlineLevel="0" collapsed="false">
      <c r="B282" s="368"/>
      <c r="C282" s="368"/>
      <c r="D282" s="353" t="str">
        <f aca="false">+VLOOKUP($A281,BASEdades!$A$3:$AA$283,4,FALSE())</f>
        <v>Subministrament i instal·lació de troncs d'acàcia polits i amb oli d'entre 14 i 24cm de diàmetre, col·locats verticalment sobre el terreny, en forma de rotllana. Inclou p/p de replanteig, excavació manual del terreny, selecció i tall de troncs, replè i compactació del terreny contigu i eliminació i neteja del material sobrant.  Inclou mecanització.</v>
      </c>
      <c r="E282" s="341"/>
      <c r="F282" s="341"/>
      <c r="G282" s="369"/>
      <c r="H282" s="344"/>
      <c r="I282" s="370"/>
      <c r="L282" s="0"/>
      <c r="M282" s="0"/>
    </row>
    <row r="283" s="286" customFormat="true" ht="28.35" hidden="false" customHeight="false" outlineLevel="0" collapsed="false">
      <c r="B283" s="368"/>
      <c r="C283" s="368"/>
      <c r="D283" s="341" t="str">
        <f aca="false">+VLOOKUP($A281,BASEdades!$A$3:$AA$283,5,FALSE())</f>
        <v>.mides: 240cm de diàmetre. 23 troncs mitjans i un tronc gruixut al mig</v>
      </c>
      <c r="E283" s="341"/>
      <c r="F283" s="341"/>
      <c r="G283" s="369"/>
      <c r="H283" s="344"/>
      <c r="I283" s="370"/>
      <c r="L283" s="0"/>
      <c r="M283" s="0"/>
    </row>
    <row r="284" s="286" customFormat="true" ht="14.9" hidden="false" customHeight="false" outlineLevel="0" collapsed="false">
      <c r="B284" s="368"/>
      <c r="C284" s="368"/>
      <c r="D284" s="341" t="str">
        <f aca="false">+VLOOKUP($A281,BASEdades!$A$3:$AA$283,6,FALSE())</f>
        <v>.</v>
      </c>
      <c r="E284" s="341"/>
      <c r="F284" s="341"/>
      <c r="G284" s="369"/>
      <c r="H284" s="344"/>
      <c r="I284" s="370"/>
      <c r="L284" s="0"/>
      <c r="M284" s="0"/>
    </row>
    <row r="285" s="286" customFormat="true" ht="13.8" hidden="false" customHeight="false" outlineLevel="0" collapsed="false">
      <c r="B285" s="368"/>
      <c r="C285" s="368"/>
      <c r="D285" s="376"/>
      <c r="E285" s="348"/>
      <c r="F285" s="371"/>
      <c r="G285" s="348"/>
      <c r="H285" s="344"/>
      <c r="I285" s="370"/>
      <c r="L285" s="0"/>
      <c r="M285" s="0"/>
    </row>
    <row r="286" s="286" customFormat="true" ht="13.8" hidden="false" customHeight="false" outlineLevel="0" collapsed="false">
      <c r="A286" s="329" t="s">
        <v>366</v>
      </c>
      <c r="B286" s="337" t="s">
        <v>926</v>
      </c>
      <c r="C286" s="337" t="str">
        <f aca="false">+VLOOKUP($A286,BASEdades!$A$3:$AA$283,3,FALSE())</f>
        <v>ut</v>
      </c>
      <c r="D286" s="367" t="str">
        <f aca="false">+VLOOKUP($A286,BASEdades!$A$3:$AA$298,2,FALSE())</f>
        <v>Bosc de troncs</v>
      </c>
      <c r="E286" s="338"/>
      <c r="F286" s="338"/>
      <c r="G286" s="339" t="n">
        <v>1</v>
      </c>
      <c r="H286" s="340" t="n">
        <f aca="false">+VLOOKUP($A286,BASEdades!$A$3:$AA$283,7,FALSE())</f>
        <v>540</v>
      </c>
      <c r="I286" s="340" t="n">
        <f aca="false">G286*H286</f>
        <v>540</v>
      </c>
      <c r="L286" s="0"/>
      <c r="M286" s="0"/>
    </row>
    <row r="287" s="286" customFormat="true" ht="41.75" hidden="false" customHeight="false" outlineLevel="0" collapsed="false">
      <c r="B287" s="368"/>
      <c r="C287" s="368"/>
      <c r="D287" s="353" t="str">
        <f aca="false">+VLOOKUP($A286,BASEdades!$A$3:$AA$283,4,FALSE())</f>
        <v>Subministrament i instal·lació d'estructura formada per 25 troncs d'entre 16 i 24 cm de diàmetre, tallats a diverses alçades que, ajuntats, formen una elevació d'entre uns 20 i 50 cm.</v>
      </c>
      <c r="E287" s="341"/>
      <c r="F287" s="341"/>
      <c r="G287" s="369"/>
      <c r="H287" s="344"/>
      <c r="I287" s="370"/>
      <c r="L287" s="0"/>
      <c r="M287" s="0"/>
    </row>
    <row r="288" s="286" customFormat="true" ht="14.9" hidden="false" customHeight="false" outlineLevel="0" collapsed="false">
      <c r="B288" s="368"/>
      <c r="C288" s="368"/>
      <c r="D288" s="341" t="str">
        <f aca="false">+VLOOKUP($A286,BASEdades!$A$3:$AA$283,5,FALSE())</f>
        <v>.mides: 100x80x50cm</v>
      </c>
      <c r="E288" s="341"/>
      <c r="F288" s="341"/>
      <c r="G288" s="369"/>
      <c r="H288" s="344"/>
      <c r="I288" s="370"/>
      <c r="L288" s="0"/>
      <c r="M288" s="0"/>
    </row>
    <row r="289" s="286" customFormat="true" ht="14.9" hidden="false" customHeight="false" outlineLevel="0" collapsed="false">
      <c r="B289" s="368"/>
      <c r="C289" s="368"/>
      <c r="D289" s="341" t="str">
        <f aca="false">+VLOOKUP($A286,BASEdades!$A$3:$AA$283,6,FALSE())</f>
        <v>.</v>
      </c>
      <c r="E289" s="341"/>
      <c r="F289" s="341"/>
      <c r="G289" s="369"/>
      <c r="H289" s="344"/>
      <c r="I289" s="370"/>
      <c r="L289" s="0"/>
      <c r="M289" s="0"/>
    </row>
    <row r="290" s="286" customFormat="true" ht="13.8" hidden="false" customHeight="false" outlineLevel="0" collapsed="false">
      <c r="B290" s="368"/>
      <c r="C290" s="368"/>
      <c r="D290" s="376"/>
      <c r="E290" s="348"/>
      <c r="F290" s="371"/>
      <c r="G290" s="348"/>
      <c r="H290" s="344"/>
      <c r="I290" s="370"/>
      <c r="L290" s="0"/>
      <c r="M290" s="0"/>
    </row>
    <row r="291" s="286" customFormat="true" ht="13.8" hidden="false" customHeight="false" outlineLevel="0" collapsed="false">
      <c r="A291" s="329" t="s">
        <v>517</v>
      </c>
      <c r="B291" s="337" t="s">
        <v>927</v>
      </c>
      <c r="C291" s="337" t="str">
        <f aca="false">+VLOOKUP($A291,BASEdades!$A$3:$AA$283,3,FALSE())</f>
        <v>ut</v>
      </c>
      <c r="D291" s="367" t="str">
        <f aca="false">+VLOOKUP($A291,BASEdades!$A$3:$AA$298,2,FALSE())</f>
        <v>Túnel vegetal amb barres metàl.liques</v>
      </c>
      <c r="E291" s="338"/>
      <c r="F291" s="338"/>
      <c r="G291" s="339" t="n">
        <v>1</v>
      </c>
      <c r="H291" s="340" t="n">
        <f aca="false">+VLOOKUP($A291,BASEdades!$A$3:$AA$283,7,FALSE())</f>
        <v>1140</v>
      </c>
      <c r="I291" s="340" t="n">
        <f aca="false">G291*H291</f>
        <v>1140</v>
      </c>
      <c r="L291" s="0"/>
      <c r="M291" s="0"/>
    </row>
    <row r="292" s="286" customFormat="true" ht="28.35" hidden="false" customHeight="false" outlineLevel="0" collapsed="false">
      <c r="B292" s="368"/>
      <c r="C292" s="368"/>
      <c r="D292" s="353" t="str">
        <f aca="false">+VLOOKUP($A291,BASEdades!$A$3:$AA$283,4,FALSE())</f>
        <v>Subministrament i instal·lació de túnel fet amb barres metàl.liques plegades, ancorades a travessa de fusta</v>
      </c>
      <c r="E292" s="341"/>
      <c r="F292" s="341"/>
      <c r="G292" s="369"/>
      <c r="H292" s="344"/>
      <c r="I292" s="370"/>
      <c r="L292" s="0"/>
      <c r="M292" s="0"/>
    </row>
    <row r="293" s="286" customFormat="true" ht="14.9" hidden="false" customHeight="false" outlineLevel="0" collapsed="false">
      <c r="B293" s="368"/>
      <c r="C293" s="368"/>
      <c r="D293" s="341" t="str">
        <f aca="false">+VLOOKUP($A291,BASEdades!$A$3:$AA$283,5,FALSE())</f>
        <v>.mides: 1x180x115cm</v>
      </c>
      <c r="E293" s="341"/>
      <c r="F293" s="341"/>
      <c r="G293" s="369"/>
      <c r="H293" s="344"/>
      <c r="I293" s="370"/>
      <c r="L293" s="0"/>
      <c r="M293" s="0"/>
    </row>
    <row r="294" s="286" customFormat="true" ht="14.9" hidden="false" customHeight="false" outlineLevel="0" collapsed="false">
      <c r="B294" s="368"/>
      <c r="C294" s="368"/>
      <c r="D294" s="341" t="str">
        <f aca="false">+VLOOKUP($A291,BASEdades!$A$3:$AA$283,6,FALSE())</f>
        <v>.</v>
      </c>
      <c r="E294" s="341"/>
      <c r="F294" s="341"/>
      <c r="G294" s="369"/>
      <c r="H294" s="344"/>
      <c r="I294" s="370"/>
      <c r="L294" s="0"/>
      <c r="M294" s="0"/>
    </row>
    <row r="295" customFormat="false" ht="13.8" hidden="false" customHeight="false" outlineLevel="0" collapsed="false">
      <c r="B295" s="361"/>
      <c r="C295" s="361"/>
      <c r="D295" s="351"/>
      <c r="E295" s="352"/>
      <c r="F295" s="372"/>
      <c r="G295" s="352"/>
      <c r="H295" s="359"/>
      <c r="I295" s="366"/>
    </row>
    <row r="296" s="286" customFormat="true" ht="13.8" hidden="false" customHeight="false" outlineLevel="0" collapsed="false">
      <c r="B296" s="330" t="s">
        <v>928</v>
      </c>
      <c r="C296" s="331"/>
      <c r="D296" s="332"/>
      <c r="E296" s="333"/>
      <c r="F296" s="333"/>
      <c r="G296" s="334"/>
      <c r="H296" s="335"/>
      <c r="I296" s="336" t="n">
        <f aca="false">SUM(I298:I344)</f>
        <v>9571.61695</v>
      </c>
      <c r="L296" s="0"/>
      <c r="M296" s="0"/>
    </row>
    <row r="297" customFormat="false" ht="13.8" hidden="false" customHeight="false" outlineLevel="0" collapsed="false">
      <c r="B297" s="361"/>
      <c r="C297" s="361"/>
      <c r="D297" s="362"/>
      <c r="E297" s="363"/>
      <c r="F297" s="364"/>
      <c r="G297" s="365"/>
      <c r="H297" s="359"/>
      <c r="I297" s="366"/>
    </row>
    <row r="298" s="286" customFormat="true" ht="13.8" hidden="false" customHeight="false" outlineLevel="0" collapsed="false">
      <c r="A298" s="377" t="s">
        <v>197</v>
      </c>
      <c r="B298" s="337" t="s">
        <v>929</v>
      </c>
      <c r="C298" s="337" t="str">
        <f aca="false">+VLOOKUP($A298,BASEdades!$A$3:$AA$283,3,FALSE())</f>
        <v>m3</v>
      </c>
      <c r="D298" s="338" t="str">
        <f aca="false">+VLOOKUP($A298,BASEdades!$A$3:$AA$283,2,FALSE())</f>
        <v>Terra vegetal  (per jardineres i parterre)</v>
      </c>
      <c r="E298" s="338"/>
      <c r="F298" s="338"/>
      <c r="G298" s="339" t="n">
        <f aca="false">SUM(G301:G306)</f>
        <v>17.7</v>
      </c>
      <c r="H298" s="340" t="n">
        <f aca="false">+VLOOKUP($A298,BASEdades!$A$3:$AA$283,7,FALSE())</f>
        <v>105.333333333333</v>
      </c>
      <c r="I298" s="340" t="n">
        <f aca="false">G298*H298</f>
        <v>1864.4</v>
      </c>
      <c r="L298" s="0"/>
      <c r="M298" s="0"/>
    </row>
    <row r="299" s="286" customFormat="true" ht="41.75" hidden="false" customHeight="false" outlineLevel="0" collapsed="false">
      <c r="A299" s="377"/>
      <c r="B299" s="323"/>
      <c r="C299" s="368"/>
      <c r="D299" s="341" t="str">
        <f aca="false">+VLOOKUP($A298,BASEdades!$A$3:$AA$283,4,FALSE())</f>
        <v>Aportació i estesa de terra vegetal de jardineria de categoria alta,  amb una conductivitat elèctrica menor de 0,8 dS/m, segons NTJ 07A, subministrada en big bag i estesa amb mitjans manuals.</v>
      </c>
      <c r="E299" s="342"/>
      <c r="F299" s="342"/>
      <c r="G299" s="343"/>
      <c r="H299" s="344"/>
      <c r="I299" s="345"/>
      <c r="L299" s="0"/>
      <c r="M299" s="0"/>
    </row>
    <row r="300" s="286" customFormat="true" ht="13.8" hidden="false" customHeight="false" outlineLevel="0" collapsed="false">
      <c r="A300" s="377"/>
      <c r="B300" s="323"/>
      <c r="C300" s="323"/>
      <c r="D300" s="347" t="s">
        <v>13</v>
      </c>
      <c r="E300" s="347"/>
      <c r="F300" s="347"/>
      <c r="G300" s="348"/>
      <c r="H300" s="349"/>
      <c r="I300" s="304"/>
      <c r="L300" s="0"/>
      <c r="M300" s="0"/>
    </row>
    <row r="301" s="286" customFormat="true" ht="13.8" hidden="false" customHeight="false" outlineLevel="0" collapsed="false">
      <c r="A301" s="377"/>
      <c r="D301" s="378" t="str">
        <f aca="false">D95</f>
        <v>. Entorn placeta</v>
      </c>
      <c r="E301" s="379" t="n">
        <f aca="false">E95</f>
        <v>10</v>
      </c>
      <c r="F301" s="380" t="n">
        <v>0.2</v>
      </c>
      <c r="G301" s="381" t="n">
        <f aca="false">E301*F301</f>
        <v>2</v>
      </c>
      <c r="H301" s="304"/>
      <c r="I301" s="304"/>
      <c r="L301" s="0"/>
      <c r="M301" s="0"/>
    </row>
    <row r="302" s="286" customFormat="true" ht="13.8" hidden="false" customHeight="false" outlineLevel="0" collapsed="false">
      <c r="A302" s="377"/>
      <c r="D302" s="378" t="str">
        <f aca="false">D96</f>
        <v>.entorn sorral</v>
      </c>
      <c r="E302" s="379" t="n">
        <f aca="false">E96</f>
        <v>20.8</v>
      </c>
      <c r="F302" s="380" t="n">
        <v>0.2</v>
      </c>
      <c r="G302" s="381" t="n">
        <f aca="false">E302*F302</f>
        <v>4.16</v>
      </c>
      <c r="H302" s="304"/>
      <c r="I302" s="304"/>
      <c r="L302" s="0"/>
      <c r="M302" s="0"/>
    </row>
    <row r="303" s="286" customFormat="true" ht="13.8" hidden="false" customHeight="false" outlineLevel="0" collapsed="false">
      <c r="A303" s="377"/>
      <c r="D303" s="378" t="str">
        <f aca="false">D97</f>
        <v>.turó</v>
      </c>
      <c r="E303" s="379" t="n">
        <f aca="false">E97</f>
        <v>17.7</v>
      </c>
      <c r="F303" s="380" t="n">
        <v>0.2</v>
      </c>
      <c r="G303" s="381" t="n">
        <f aca="false">E303*F303</f>
        <v>3.54</v>
      </c>
      <c r="H303" s="304"/>
      <c r="I303" s="304"/>
      <c r="L303" s="0"/>
      <c r="M303" s="0"/>
    </row>
    <row r="304" s="286" customFormat="true" ht="13.8" hidden="false" customHeight="false" outlineLevel="0" collapsed="false">
      <c r="A304" s="377"/>
      <c r="D304" s="378" t="s">
        <v>930</v>
      </c>
      <c r="E304" s="378" t="n">
        <f aca="false">24</f>
        <v>24</v>
      </c>
      <c r="F304" s="380" t="n">
        <v>0.2</v>
      </c>
      <c r="G304" s="381" t="n">
        <f aca="false">E304*F304</f>
        <v>4.8</v>
      </c>
      <c r="H304" s="304"/>
      <c r="I304" s="304"/>
      <c r="L304" s="0"/>
      <c r="M304" s="0"/>
    </row>
    <row r="305" s="286" customFormat="true" ht="13.8" hidden="false" customHeight="false" outlineLevel="0" collapsed="false">
      <c r="A305" s="377"/>
      <c r="D305" s="378" t="s">
        <v>931</v>
      </c>
      <c r="E305" s="378" t="n">
        <f aca="false">13*0.5+7</f>
        <v>13.5</v>
      </c>
      <c r="F305" s="380" t="n">
        <v>0.2</v>
      </c>
      <c r="G305" s="381" t="n">
        <f aca="false">E305*F305</f>
        <v>2.7</v>
      </c>
      <c r="H305" s="304"/>
      <c r="I305" s="304"/>
      <c r="L305" s="0"/>
      <c r="M305" s="0"/>
    </row>
    <row r="306" s="286" customFormat="true" ht="13.8" hidden="false" customHeight="false" outlineLevel="0" collapsed="false">
      <c r="A306" s="377"/>
      <c r="D306" s="378" t="s">
        <v>932</v>
      </c>
      <c r="E306" s="378" t="n">
        <v>2</v>
      </c>
      <c r="F306" s="380" t="n">
        <v>0.25</v>
      </c>
      <c r="G306" s="381" t="n">
        <f aca="false">E306*F306</f>
        <v>0.5</v>
      </c>
      <c r="H306" s="304"/>
      <c r="I306" s="304"/>
      <c r="L306" s="0"/>
      <c r="M306" s="0"/>
    </row>
    <row r="307" customFormat="false" ht="13.8" hidden="false" customHeight="false" outlineLevel="0" collapsed="false">
      <c r="A307" s="382"/>
      <c r="D307" s="277"/>
    </row>
    <row r="308" s="286" customFormat="true" ht="13.8" hidden="false" customHeight="false" outlineLevel="0" collapsed="false">
      <c r="A308" s="377" t="s">
        <v>746</v>
      </c>
      <c r="B308" s="337" t="s">
        <v>933</v>
      </c>
      <c r="C308" s="337" t="str">
        <f aca="false">+VLOOKUP($A308,BASEdades!$A$3:$AA$283,3,FALSE())</f>
        <v>ut</v>
      </c>
      <c r="D308" s="338" t="str">
        <f aca="false">+VLOOKUP($A308,BASEdades!$A$3:$AA$283,2,FALSE())</f>
        <v>Plantació d'arbres gran</v>
      </c>
      <c r="E308" s="338"/>
      <c r="F308" s="338"/>
      <c r="G308" s="339" t="n">
        <f aca="false">SUM(G312)</f>
        <v>2</v>
      </c>
      <c r="H308" s="340" t="n">
        <f aca="false">+VLOOKUP($A308,BASEdades!$A$3:$AA$283,7,FALSE())</f>
        <v>440</v>
      </c>
      <c r="I308" s="340" t="n">
        <f aca="false">G308*H308</f>
        <v>880</v>
      </c>
      <c r="L308" s="0"/>
      <c r="M308" s="0"/>
    </row>
    <row r="309" s="286" customFormat="true" ht="82.05" hidden="false" customHeight="false" outlineLevel="0" collapsed="false">
      <c r="A309" s="377"/>
      <c r="B309" s="368"/>
      <c r="C309" s="368"/>
      <c r="D309" s="341" t="str">
        <f aca="false">+VLOOKUP($A308,BASEdades!$A$3:$AA$283,4,FALSE())</f>
        <v>Subministrament i plantació d'arbre planifoli amb pa de terra o contenidor, de 18 a 20 cm de perímetre de tronc a 1,5 m d'alçària (a partir del coll de l'arrel), en clot de 100x100x60 cm en un pendent inferior al 25 %, reblert del clot amb terra vegetal. (el preu no inclou la terra vegetal)                                                        </v>
      </c>
      <c r="E309" s="341"/>
      <c r="F309" s="341"/>
      <c r="G309" s="369"/>
      <c r="H309" s="344"/>
      <c r="I309" s="370"/>
      <c r="L309" s="0"/>
      <c r="M309" s="0"/>
    </row>
    <row r="310" s="286" customFormat="true" ht="14.9" hidden="false" customHeight="false" outlineLevel="0" collapsed="false">
      <c r="A310" s="377"/>
      <c r="B310" s="368"/>
      <c r="C310" s="368"/>
      <c r="D310" s="341" t="str">
        <f aca="false">+VLOOKUP($A308,BASEdades!$A$3:$AA$283,5,FALSE())</f>
        <v>Espècies escollides segons la regió i el sól on us trobeu. </v>
      </c>
      <c r="E310" s="341"/>
      <c r="F310" s="341"/>
      <c r="G310" s="369"/>
      <c r="H310" s="344"/>
      <c r="I310" s="370"/>
      <c r="L310" s="0"/>
      <c r="M310" s="0"/>
    </row>
    <row r="311" s="286" customFormat="true" ht="14.9" hidden="false" customHeight="false" outlineLevel="0" collapsed="false">
      <c r="A311" s="377"/>
      <c r="B311" s="368"/>
      <c r="C311" s="368"/>
      <c r="D311" s="341" t="str">
        <f aca="false">+VLOOKUP($A308,BASEdades!$A$3:$AA$283,6,FALSE())</f>
        <v>.</v>
      </c>
      <c r="E311" s="341"/>
      <c r="F311" s="341"/>
      <c r="G311" s="369"/>
      <c r="H311" s="344"/>
      <c r="I311" s="370"/>
      <c r="L311" s="0"/>
      <c r="M311" s="0"/>
    </row>
    <row r="312" s="286" customFormat="true" ht="13.8" hidden="false" customHeight="false" outlineLevel="0" collapsed="false">
      <c r="A312" s="377"/>
      <c r="D312" s="378" t="s">
        <v>932</v>
      </c>
      <c r="E312" s="348" t="n">
        <v>2</v>
      </c>
      <c r="F312" s="380" t="n">
        <v>1</v>
      </c>
      <c r="G312" s="381" t="n">
        <f aca="false">E312*F312</f>
        <v>2</v>
      </c>
      <c r="H312" s="304"/>
      <c r="I312" s="304"/>
      <c r="L312" s="0"/>
      <c r="M312" s="0"/>
    </row>
    <row r="313" s="286" customFormat="true" ht="13.8" hidden="false" customHeight="false" outlineLevel="0" collapsed="false">
      <c r="A313" s="377"/>
      <c r="D313" s="378"/>
      <c r="E313" s="348"/>
      <c r="F313" s="380"/>
      <c r="G313" s="381"/>
      <c r="H313" s="304"/>
      <c r="I313" s="304"/>
      <c r="L313" s="0"/>
      <c r="M313" s="0"/>
    </row>
    <row r="314" s="286" customFormat="true" ht="13.8" hidden="false" customHeight="false" outlineLevel="0" collapsed="false">
      <c r="A314" s="286" t="s">
        <v>68</v>
      </c>
      <c r="B314" s="337" t="s">
        <v>934</v>
      </c>
      <c r="C314" s="337" t="str">
        <f aca="false">+VLOOKUP($A314,BASEdades!$A$3:$AA$283,3,FALSE())</f>
        <v>m3</v>
      </c>
      <c r="D314" s="338" t="str">
        <f aca="false">+VLOOKUP($A314,BASEdades!$A$3:$AA$283,2,FALSE())</f>
        <v>Rebaix de terreny</v>
      </c>
      <c r="E314" s="338"/>
      <c r="F314" s="338"/>
      <c r="G314" s="339" t="n">
        <f aca="false">SUM(G317)</f>
        <v>2</v>
      </c>
      <c r="H314" s="340" t="n">
        <f aca="false">+VLOOKUP($A314,BASEdades!$A$3:$AA$283,7,FALSE())</f>
        <v>49</v>
      </c>
      <c r="I314" s="340" t="n">
        <f aca="false">G314*H314</f>
        <v>98</v>
      </c>
      <c r="L314" s="0"/>
      <c r="M314" s="0"/>
    </row>
    <row r="315" s="286" customFormat="true" ht="41.75" hidden="false" customHeight="false" outlineLevel="0" collapsed="false">
      <c r="A315" s="329"/>
      <c r="B315" s="323"/>
      <c r="C315" s="323"/>
      <c r="D315" s="341" t="str">
        <f aca="false">+VLOOKUP($A314,BASEdades!$A$3:$AA$283,4,FALSE())</f>
        <v>Excavació a cel obert, en terra d'argila semidura, amb mitjans mecànics i càrrega a camió. El preu no inclou el transport dels materials excavats.</v>
      </c>
      <c r="E315" s="342"/>
      <c r="F315" s="342"/>
      <c r="G315" s="343"/>
      <c r="H315" s="344"/>
      <c r="I315" s="345"/>
      <c r="L315" s="0"/>
      <c r="M315" s="0"/>
    </row>
    <row r="316" s="286" customFormat="true" ht="13.8" hidden="false" customHeight="false" outlineLevel="0" collapsed="false">
      <c r="A316" s="329"/>
      <c r="B316" s="323"/>
      <c r="C316" s="323"/>
      <c r="D316" s="346" t="str">
        <f aca="false">+VLOOKUP($A314,BASEdades!$A$3:$AA$283,5,FALSE())</f>
        <v>.</v>
      </c>
      <c r="E316" s="347"/>
      <c r="F316" s="347"/>
      <c r="G316" s="348"/>
      <c r="H316" s="349"/>
      <c r="I316" s="304"/>
      <c r="L316" s="0"/>
      <c r="M316" s="0"/>
    </row>
    <row r="317" s="286" customFormat="true" ht="13.8" hidden="false" customHeight="false" outlineLevel="0" collapsed="false">
      <c r="A317" s="329"/>
      <c r="B317" s="323"/>
      <c r="C317" s="323"/>
      <c r="D317" s="350" t="str">
        <f aca="false">D312</f>
        <v>.arbres</v>
      </c>
      <c r="E317" s="348" t="n">
        <f aca="false">E312</f>
        <v>2</v>
      </c>
      <c r="F317" s="348" t="n">
        <v>1</v>
      </c>
      <c r="G317" s="348" t="n">
        <f aca="false">E317*F317</f>
        <v>2</v>
      </c>
      <c r="H317" s="344"/>
      <c r="I317" s="345"/>
      <c r="L317" s="0"/>
      <c r="M317" s="0"/>
    </row>
    <row r="318" s="286" customFormat="true" ht="13.8" hidden="false" customHeight="false" outlineLevel="0" collapsed="false">
      <c r="A318" s="329"/>
      <c r="B318" s="368"/>
      <c r="C318" s="368"/>
      <c r="D318" s="341"/>
      <c r="E318" s="343"/>
      <c r="F318" s="383"/>
      <c r="G318" s="384"/>
      <c r="H318" s="344"/>
      <c r="I318" s="370"/>
      <c r="L318" s="0"/>
      <c r="M318" s="0"/>
    </row>
    <row r="319" s="286" customFormat="true" ht="13.8" hidden="false" customHeight="false" outlineLevel="0" collapsed="false">
      <c r="A319" s="377" t="s">
        <v>753</v>
      </c>
      <c r="B319" s="337" t="s">
        <v>935</v>
      </c>
      <c r="C319" s="337" t="str">
        <f aca="false">+VLOOKUP($A319,BASEdades!$A$3:$AA$283,3,FALSE())</f>
        <v>ut</v>
      </c>
      <c r="D319" s="338" t="str">
        <f aca="false">+VLOOKUP($A319,BASEdades!$A$3:$AA$283,2,FALSE())</f>
        <v>Plantació d'arbust de port petit</v>
      </c>
      <c r="E319" s="338"/>
      <c r="F319" s="338"/>
      <c r="G319" s="339" t="n">
        <f aca="false">SUM(G324)</f>
        <v>168.74</v>
      </c>
      <c r="H319" s="340" t="n">
        <f aca="false">+VLOOKUP($A319,BASEdades!$A$3:$AA$283,7,FALSE())</f>
        <v>18.4</v>
      </c>
      <c r="I319" s="340" t="n">
        <f aca="false">G319*H319</f>
        <v>3104.816</v>
      </c>
      <c r="L319" s="0"/>
      <c r="M319" s="0"/>
    </row>
    <row r="320" s="286" customFormat="true" ht="82.05" hidden="false" customHeight="false" outlineLevel="0" collapsed="false">
      <c r="A320" s="377"/>
      <c r="B320" s="368"/>
      <c r="C320" s="368"/>
      <c r="D320" s="341" t="str">
        <f aca="false">+VLOOKUP($A319,BASEdades!$A$3:$AA$283,4,FALSE())</f>
        <v>Subministrament i plantació d'arbust o arbre de petit format en contenidor d'1,5 a 3 l, excavació de clot de plantació de 25x25x25 cm amb mitjans manuals, en un pendent inferior al 35 %, reblert del clot amb terra de l'excavació barrejada amb un 10% de compost sobre llit de grava de 10cm i primer reg.   (el preu no inclou la terra vegetal ni la grava)                            </v>
      </c>
      <c r="E320" s="341"/>
      <c r="F320" s="341"/>
      <c r="G320" s="369"/>
      <c r="H320" s="344"/>
      <c r="I320" s="370"/>
      <c r="L320" s="0"/>
      <c r="M320" s="0"/>
    </row>
    <row r="321" s="286" customFormat="true" ht="14.9" hidden="false" customHeight="false" outlineLevel="0" collapsed="false">
      <c r="A321" s="377"/>
      <c r="B321" s="368"/>
      <c r="C321" s="368"/>
      <c r="D321" s="341" t="str">
        <f aca="false">+VLOOKUP($A319,BASEdades!$A$3:$AA$283,5,FALSE())</f>
        <v>Espècies escollides segons la regió i el sól on us trobeu.</v>
      </c>
      <c r="E321" s="341"/>
      <c r="F321" s="341"/>
      <c r="G321" s="369"/>
      <c r="H321" s="344"/>
      <c r="I321" s="370"/>
      <c r="L321" s="0"/>
      <c r="M321" s="0"/>
    </row>
    <row r="322" s="286" customFormat="true" ht="14.9" hidden="false" customHeight="false" outlineLevel="0" collapsed="false">
      <c r="A322" s="377"/>
      <c r="B322" s="368"/>
      <c r="C322" s="368"/>
      <c r="D322" s="341" t="str">
        <f aca="false">+VLOOKUP($A319,BASEdades!$A$3:$AA$283,6,FALSE())</f>
        <v>.</v>
      </c>
      <c r="E322" s="341"/>
      <c r="F322" s="341"/>
      <c r="G322" s="369"/>
      <c r="H322" s="344"/>
      <c r="I322" s="370"/>
      <c r="L322" s="0"/>
      <c r="M322" s="0"/>
    </row>
    <row r="323" s="286" customFormat="true" ht="13.8" hidden="false" customHeight="false" outlineLevel="0" collapsed="false">
      <c r="A323" s="329"/>
      <c r="B323" s="368"/>
      <c r="C323" s="368"/>
      <c r="D323" s="341"/>
      <c r="E323" s="343"/>
      <c r="F323" s="383"/>
      <c r="G323" s="384"/>
      <c r="H323" s="344"/>
      <c r="I323" s="370"/>
      <c r="L323" s="0"/>
      <c r="M323" s="0"/>
    </row>
    <row r="324" s="286" customFormat="true" ht="13.8" hidden="false" customHeight="false" outlineLevel="0" collapsed="false">
      <c r="A324" s="377"/>
      <c r="D324" s="378" t="s">
        <v>936</v>
      </c>
      <c r="E324" s="348" t="n">
        <f aca="false">SUM(E301:E306)</f>
        <v>88</v>
      </c>
      <c r="F324" s="380" t="n">
        <v>1.9175</v>
      </c>
      <c r="G324" s="381" t="n">
        <f aca="false">E324*F324</f>
        <v>168.74</v>
      </c>
      <c r="H324" s="304"/>
      <c r="I324" s="304"/>
      <c r="L324" s="0"/>
      <c r="M324" s="0"/>
    </row>
    <row r="325" s="286" customFormat="true" ht="13.8" hidden="false" customHeight="false" outlineLevel="0" collapsed="false">
      <c r="A325" s="377"/>
      <c r="D325" s="376"/>
      <c r="E325" s="343"/>
      <c r="F325" s="383"/>
      <c r="G325" s="384"/>
      <c r="H325" s="304"/>
      <c r="I325" s="304"/>
      <c r="L325" s="0"/>
      <c r="M325" s="0"/>
    </row>
    <row r="326" s="286" customFormat="true" ht="13.8" hidden="false" customHeight="false" outlineLevel="0" collapsed="false">
      <c r="A326" s="377" t="s">
        <v>749</v>
      </c>
      <c r="B326" s="337" t="s">
        <v>937</v>
      </c>
      <c r="C326" s="337" t="str">
        <f aca="false">+VLOOKUP($A326,BASEdades!$A$3:$AA$283,3,FALSE())</f>
        <v>ut</v>
      </c>
      <c r="D326" s="338" t="str">
        <f aca="false">+VLOOKUP($A326,BASEdades!$A$3:$AA$283,2,FALSE())</f>
        <v>Plantació d'arbust de port mitjà</v>
      </c>
      <c r="E326" s="338"/>
      <c r="F326" s="338"/>
      <c r="G326" s="339" t="n">
        <f aca="false">SUM(G331)</f>
        <v>88</v>
      </c>
      <c r="H326" s="340" t="n">
        <f aca="false">+VLOOKUP($A326,BASEdades!$A$3:$AA$283,7,FALSE())</f>
        <v>26</v>
      </c>
      <c r="I326" s="340" t="n">
        <f aca="false">G326*H326</f>
        <v>2288</v>
      </c>
      <c r="L326" s="0"/>
      <c r="M326" s="0"/>
    </row>
    <row r="327" s="286" customFormat="true" ht="82.05" hidden="false" customHeight="false" outlineLevel="0" collapsed="false">
      <c r="A327" s="377"/>
      <c r="B327" s="368"/>
      <c r="C327" s="368"/>
      <c r="D327" s="341" t="str">
        <f aca="false">+VLOOKUP($A326,BASEdades!$A$3:$AA$283,4,FALSE())</f>
        <v>Subministrament i plantació d'arbust o arbre de petit format en contenidor de 3 a 5 l, excavació de clot de plantació de 30x30x30 cm amb mitjans manuals, en un pendent inferior al 35 %, reblert del clot amb terra de l'excavació barrejada amb un 10% de compost sobre llit de grava de 10cm i primer reg.    (el preu no inclou la terra vegetal ni la grava)                           </v>
      </c>
      <c r="E327" s="341"/>
      <c r="F327" s="341"/>
      <c r="G327" s="369"/>
      <c r="H327" s="344"/>
      <c r="I327" s="370"/>
      <c r="L327" s="0"/>
      <c r="M327" s="0"/>
    </row>
    <row r="328" s="286" customFormat="true" ht="14.9" hidden="false" customHeight="false" outlineLevel="0" collapsed="false">
      <c r="A328" s="377"/>
      <c r="B328" s="368"/>
      <c r="C328" s="368"/>
      <c r="D328" s="341" t="str">
        <f aca="false">+VLOOKUP($A326,BASEdades!$A$3:$AA$283,5,FALSE())</f>
        <v>Espècies escollides segons la regió i el sól on us trobeu.</v>
      </c>
      <c r="E328" s="341"/>
      <c r="F328" s="341"/>
      <c r="G328" s="369"/>
      <c r="H328" s="344"/>
      <c r="I328" s="370"/>
      <c r="L328" s="0"/>
      <c r="M328" s="0"/>
    </row>
    <row r="329" s="286" customFormat="true" ht="14.9" hidden="false" customHeight="false" outlineLevel="0" collapsed="false">
      <c r="A329" s="377"/>
      <c r="B329" s="368"/>
      <c r="C329" s="368"/>
      <c r="D329" s="341" t="str">
        <f aca="false">+VLOOKUP($A326,BASEdades!$A$3:$AA$283,6,FALSE())</f>
        <v>.</v>
      </c>
      <c r="E329" s="341"/>
      <c r="F329" s="341"/>
      <c r="G329" s="369"/>
      <c r="H329" s="344"/>
      <c r="I329" s="370"/>
      <c r="L329" s="0"/>
      <c r="M329" s="0"/>
    </row>
    <row r="330" s="286" customFormat="true" ht="13.8" hidden="false" customHeight="false" outlineLevel="0" collapsed="false">
      <c r="A330" s="329"/>
      <c r="B330" s="368"/>
      <c r="C330" s="368"/>
      <c r="D330" s="341"/>
      <c r="E330" s="343"/>
      <c r="F330" s="383"/>
      <c r="G330" s="384"/>
      <c r="H330" s="344"/>
      <c r="I330" s="370"/>
      <c r="L330" s="0"/>
      <c r="M330" s="0"/>
    </row>
    <row r="331" s="286" customFormat="true" ht="13.8" hidden="false" customHeight="false" outlineLevel="0" collapsed="false">
      <c r="A331" s="377"/>
      <c r="D331" s="378" t="s">
        <v>936</v>
      </c>
      <c r="E331" s="348" t="n">
        <f aca="false">SUM(E301:E306)</f>
        <v>88</v>
      </c>
      <c r="F331" s="380" t="n">
        <v>1</v>
      </c>
      <c r="G331" s="381" t="n">
        <f aca="false">E331*F331</f>
        <v>88</v>
      </c>
      <c r="H331" s="304"/>
      <c r="I331" s="304"/>
      <c r="L331" s="0"/>
      <c r="M331" s="0"/>
    </row>
    <row r="332" s="286" customFormat="true" ht="13.8" hidden="false" customHeight="false" outlineLevel="0" collapsed="false">
      <c r="A332" s="377"/>
      <c r="D332" s="376"/>
      <c r="E332" s="343"/>
      <c r="F332" s="383"/>
      <c r="G332" s="384"/>
      <c r="H332" s="304"/>
      <c r="I332" s="304"/>
      <c r="L332" s="0"/>
      <c r="M332" s="0"/>
    </row>
    <row r="333" s="286" customFormat="true" ht="13.8" hidden="false" customHeight="false" outlineLevel="0" collapsed="false">
      <c r="A333" s="377" t="s">
        <v>756</v>
      </c>
      <c r="B333" s="337" t="s">
        <v>938</v>
      </c>
      <c r="C333" s="337" t="str">
        <f aca="false">+VLOOKUP($A333,BASEdades!$A$3:$AA$283,3,FALSE())</f>
        <v>ut</v>
      </c>
      <c r="D333" s="338" t="str">
        <f aca="false">+VLOOKUP($A333,BASEdades!$A$3:$AA$283,2,FALSE())</f>
        <v>Plantació d'enfiladissa de port mitjà</v>
      </c>
      <c r="E333" s="338"/>
      <c r="F333" s="338"/>
      <c r="G333" s="339" t="n">
        <f aca="false">SUM(G337)</f>
        <v>10</v>
      </c>
      <c r="H333" s="340" t="n">
        <f aca="false">+VLOOKUP($A333,BASEdades!$A$3:$AA$283,7,FALSE())</f>
        <v>42</v>
      </c>
      <c r="I333" s="340" t="n">
        <f aca="false">G333*H333</f>
        <v>420</v>
      </c>
      <c r="L333" s="0"/>
      <c r="M333" s="0"/>
    </row>
    <row r="334" s="286" customFormat="true" ht="82.05" hidden="false" customHeight="false" outlineLevel="0" collapsed="false">
      <c r="A334" s="377"/>
      <c r="B334" s="368"/>
      <c r="C334" s="368"/>
      <c r="D334" s="341" t="str">
        <f aca="false">+VLOOKUP($A333,BASEdades!$A$3:$AA$283,4,FALSE())</f>
        <v>Subministrament i plantació d'enfiladissa en contenidor de 3 a 5l, excavació de clot de plantació de 25x25x25 cm amb mitjans manuals, en un pendent inferior al 35 %, reblert del clot amb terra de l'excavació barrejada amb un 10% de compost sobre llit de grava de 10cm i primer reg.        (el preu no inclou la terra vegetal ni la grava)                       </v>
      </c>
      <c r="E334" s="341"/>
      <c r="F334" s="341"/>
      <c r="G334" s="369"/>
      <c r="H334" s="344"/>
      <c r="I334" s="370"/>
      <c r="L334" s="0"/>
      <c r="M334" s="0"/>
    </row>
    <row r="335" s="286" customFormat="true" ht="14.9" hidden="false" customHeight="false" outlineLevel="0" collapsed="false">
      <c r="A335" s="377"/>
      <c r="B335" s="368"/>
      <c r="C335" s="368"/>
      <c r="D335" s="341" t="str">
        <f aca="false">+VLOOKUP($A333,BASEdades!$A$3:$AA$283,5,FALSE())</f>
        <v>Espècies escollides segons la regió i el sól on us trobeu.</v>
      </c>
      <c r="E335" s="341"/>
      <c r="F335" s="341"/>
      <c r="G335" s="369"/>
      <c r="H335" s="344"/>
      <c r="I335" s="370"/>
      <c r="L335" s="0"/>
      <c r="M335" s="0"/>
    </row>
    <row r="336" s="286" customFormat="true" ht="14.9" hidden="false" customHeight="false" outlineLevel="0" collapsed="false">
      <c r="A336" s="377"/>
      <c r="B336" s="368"/>
      <c r="C336" s="368"/>
      <c r="D336" s="341" t="str">
        <f aca="false">+VLOOKUP($A333,BASEdades!$A$3:$AA$283,6,FALSE())</f>
        <v>.</v>
      </c>
      <c r="E336" s="341"/>
      <c r="F336" s="341"/>
      <c r="G336" s="369"/>
      <c r="H336" s="344"/>
      <c r="I336" s="370"/>
      <c r="L336" s="0"/>
      <c r="M336" s="0"/>
    </row>
    <row r="337" s="286" customFormat="true" ht="13.8" hidden="false" customHeight="false" outlineLevel="0" collapsed="false">
      <c r="A337" s="329"/>
      <c r="B337" s="368"/>
      <c r="C337" s="368"/>
      <c r="D337" s="378" t="s">
        <v>939</v>
      </c>
      <c r="E337" s="348"/>
      <c r="F337" s="380"/>
      <c r="G337" s="381" t="n">
        <v>10</v>
      </c>
      <c r="H337" s="344"/>
      <c r="I337" s="370"/>
      <c r="L337" s="0"/>
      <c r="M337" s="0"/>
    </row>
    <row r="338" s="286" customFormat="true" ht="13.8" hidden="false" customHeight="false" outlineLevel="0" collapsed="false">
      <c r="A338" s="329"/>
      <c r="B338" s="368"/>
      <c r="C338" s="368"/>
      <c r="D338" s="341"/>
      <c r="E338" s="343"/>
      <c r="F338" s="383"/>
      <c r="G338" s="384"/>
      <c r="H338" s="344"/>
      <c r="I338" s="370"/>
      <c r="L338" s="0"/>
      <c r="M338" s="0"/>
    </row>
    <row r="339" s="286" customFormat="true" ht="13.8" hidden="false" customHeight="false" outlineLevel="0" collapsed="false">
      <c r="A339" s="329" t="s">
        <v>759</v>
      </c>
      <c r="B339" s="337" t="s">
        <v>940</v>
      </c>
      <c r="C339" s="337" t="s">
        <v>25</v>
      </c>
      <c r="D339" s="338" t="s">
        <v>760</v>
      </c>
      <c r="E339" s="338"/>
      <c r="F339" s="338"/>
      <c r="G339" s="339" t="n">
        <v>41.51</v>
      </c>
      <c r="H339" s="340" t="n">
        <f aca="false">+VLOOKUP($A339,BASEdades!$A$3:$AA$283,7,FALSE())</f>
        <v>18.345</v>
      </c>
      <c r="I339" s="340" t="n">
        <f aca="false">G339*H339</f>
        <v>761.50095</v>
      </c>
      <c r="L339" s="0"/>
      <c r="M339" s="0"/>
    </row>
    <row r="340" s="286" customFormat="true" ht="95.5" hidden="false" customHeight="false" outlineLevel="0" collapsed="false">
      <c r="A340" s="329"/>
      <c r="B340" s="368"/>
      <c r="C340" s="368"/>
      <c r="D340" s="341" t="s">
        <v>761</v>
      </c>
      <c r="E340" s="341"/>
      <c r="F340" s="341"/>
      <c r="G340" s="369"/>
      <c r="H340" s="344"/>
      <c r="I340" s="370"/>
      <c r="L340" s="0"/>
      <c r="M340" s="0"/>
    </row>
    <row r="341" customFormat="false" ht="13.8" hidden="false" customHeight="false" outlineLevel="0" collapsed="false">
      <c r="A341" s="354"/>
      <c r="B341" s="361"/>
      <c r="C341" s="361"/>
      <c r="D341" s="362"/>
      <c r="E341" s="362"/>
      <c r="F341" s="362"/>
      <c r="G341" s="385"/>
      <c r="H341" s="359"/>
      <c r="I341" s="366"/>
    </row>
    <row r="342" s="286" customFormat="true" ht="13.8" hidden="false" customHeight="false" outlineLevel="0" collapsed="false">
      <c r="A342" s="329" t="s">
        <v>766</v>
      </c>
      <c r="B342" s="337" t="s">
        <v>941</v>
      </c>
      <c r="C342" s="337" t="s">
        <v>10</v>
      </c>
      <c r="D342" s="338" t="s">
        <v>767</v>
      </c>
      <c r="E342" s="338"/>
      <c r="F342" s="338"/>
      <c r="G342" s="339" t="n">
        <v>2</v>
      </c>
      <c r="H342" s="340" t="n">
        <f aca="false">+VLOOKUP($A342,BASEdades!$A$3:$AA$283,7,FALSE())</f>
        <v>77.45</v>
      </c>
      <c r="I342" s="340" t="n">
        <f aca="false">G342*H342</f>
        <v>154.9</v>
      </c>
      <c r="L342" s="0"/>
      <c r="M342" s="0"/>
    </row>
    <row r="343" s="286" customFormat="true" ht="28.35" hidden="false" customHeight="false" outlineLevel="0" collapsed="false">
      <c r="A343" s="329"/>
      <c r="B343" s="368"/>
      <c r="C343" s="368"/>
      <c r="D343" s="341" t="s">
        <v>768</v>
      </c>
      <c r="E343" s="341"/>
      <c r="F343" s="341"/>
      <c r="G343" s="369"/>
      <c r="H343" s="344"/>
      <c r="I343" s="370"/>
      <c r="L343" s="0"/>
      <c r="M343" s="0"/>
    </row>
    <row r="344" s="286" customFormat="true" ht="13.8" hidden="false" customHeight="false" outlineLevel="0" collapsed="false">
      <c r="H344" s="304"/>
      <c r="I344" s="304"/>
      <c r="L344" s="0"/>
      <c r="M344" s="0"/>
    </row>
    <row r="345" customFormat="false" ht="13.8" hidden="false" customHeight="false" outlineLevel="0" collapsed="false">
      <c r="A345" s="354"/>
      <c r="B345" s="361"/>
      <c r="C345" s="361"/>
      <c r="D345" s="362"/>
      <c r="E345" s="363"/>
      <c r="F345" s="364"/>
      <c r="G345" s="365"/>
      <c r="H345" s="359"/>
      <c r="I345" s="366"/>
    </row>
    <row r="346" customFormat="false" ht="13.8" hidden="false" customHeight="false" outlineLevel="0" collapsed="false">
      <c r="I346" s="386"/>
    </row>
  </sheetData>
  <printOptions headings="false" gridLines="false" gridLinesSet="true" horizontalCentered="false" verticalCentered="false"/>
  <pageMargins left="0.708333333333333" right="0.196527777777778" top="0.708333333333333" bottom="1.10208333333333" header="0.511811023622047" footer="0.39375"/>
  <pageSetup paperSize="9" scale="100" fitToWidth="1" fitToHeight="0" pageOrder="overThenDown" orientation="portrait" blackAndWhite="false" draft="false" cellComments="none" horizontalDpi="300" verticalDpi="300" copies="1"/>
  <headerFooter differentFirst="false" differentOddEven="false">
    <oddHeader/>
    <oddFooter>&amp;L&amp;"Swis721 Lt BT,Clar"&amp;8VALORACIÓ ECONÒMICA - ESCOLA BRESSOL MUNICIPAL ROCAFONDA&amp;C&amp;"Swis721 Lt BT,Clar"&amp;9&amp;Kdedede PATI</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34"/>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I5" activeCellId="0" sqref="I5"/>
    </sheetView>
  </sheetViews>
  <sheetFormatPr defaultColWidth="11.42578125" defaultRowHeight="13.8" customHeight="true" zeroHeight="false" outlineLevelRow="0" outlineLevelCol="0"/>
  <cols>
    <col collapsed="false" customWidth="true" hidden="true" outlineLevel="0" max="1" min="1" style="286" width="20.57"/>
    <col collapsed="false" customWidth="true" hidden="false" outlineLevel="0" max="2" min="2" style="286" width="5.42"/>
    <col collapsed="false" customWidth="true" hidden="false" outlineLevel="0" max="3" min="3" style="286" width="5.86"/>
    <col collapsed="false" customWidth="true" hidden="false" outlineLevel="0" max="4" min="4" style="387" width="49"/>
    <col collapsed="false" customWidth="true" hidden="false" outlineLevel="0" max="5" min="5" style="286" width="7.57"/>
    <col collapsed="false" customWidth="true" hidden="false" outlineLevel="0" max="6" min="6" style="286" width="6.57"/>
    <col collapsed="false" customWidth="true" hidden="false" outlineLevel="0" max="7" min="7" style="286" width="8.42"/>
    <col collapsed="false" customWidth="true" hidden="false" outlineLevel="0" max="8" min="8" style="304" width="12.86"/>
    <col collapsed="false" customWidth="true" hidden="false" outlineLevel="0" max="9" min="9" style="304" width="21.57"/>
    <col collapsed="false" customWidth="true" hidden="false" outlineLevel="0" max="10" min="10" style="286" width="17.15"/>
    <col collapsed="false" customWidth="true" hidden="false" outlineLevel="0" max="11" min="11" style="286" width="35.57"/>
    <col collapsed="false" customWidth="true" hidden="false" outlineLevel="0" max="12" min="12" style="286" width="3.57"/>
    <col collapsed="false" customWidth="false" hidden="false" outlineLevel="0" max="16383" min="14" style="286" width="11.43"/>
    <col collapsed="false" customWidth="true" hidden="false" outlineLevel="0" max="16384" min="16384" style="286" width="11.53"/>
  </cols>
  <sheetData>
    <row r="1" s="287" customFormat="true" ht="13.8" hidden="false" customHeight="false" outlineLevel="0" collapsed="false">
      <c r="A1" s="280"/>
      <c r="B1" s="281" t="str">
        <f aca="false">PORTADA_PTO!A17</f>
        <v>VALORACIÓ ECONÒMICA</v>
      </c>
      <c r="C1" s="282"/>
      <c r="D1" s="283"/>
      <c r="E1" s="282"/>
      <c r="F1" s="282"/>
      <c r="G1" s="282"/>
      <c r="H1" s="284"/>
      <c r="I1" s="285"/>
      <c r="J1" s="286"/>
      <c r="K1" s="286"/>
      <c r="M1" s="0"/>
    </row>
    <row r="2" s="287" customFormat="true" ht="13.8" hidden="false" customHeight="false" outlineLevel="0" collapsed="false">
      <c r="A2" s="280"/>
      <c r="B2" s="288" t="str">
        <f aca="false">PORTADA_PTO!A18</f>
        <v>TRANSFORMACIÓ DELS ESPAIS EXTERIORS DE L’ESCOLA BRESSOL MUNICIPAL DE ROCAFONDA</v>
      </c>
      <c r="C2" s="289"/>
      <c r="D2" s="290"/>
      <c r="E2" s="289"/>
      <c r="F2" s="289"/>
      <c r="G2" s="289"/>
      <c r="H2" s="291"/>
      <c r="I2" s="292"/>
      <c r="J2" s="286"/>
      <c r="K2" s="286"/>
      <c r="M2" s="0"/>
    </row>
    <row r="3" s="287" customFormat="true" ht="13.8" hidden="false" customHeight="false" outlineLevel="0" collapsed="false">
      <c r="A3" s="280"/>
      <c r="B3" s="293" t="str">
        <f aca="false">PORTADA_PTO!E14</f>
        <v>MATARÓ</v>
      </c>
      <c r="C3" s="289"/>
      <c r="D3" s="290"/>
      <c r="E3" s="289"/>
      <c r="F3" s="289"/>
      <c r="G3" s="289"/>
      <c r="H3" s="291"/>
      <c r="I3" s="292"/>
      <c r="J3" s="286"/>
      <c r="K3" s="286"/>
      <c r="M3" s="0"/>
    </row>
    <row r="4" s="287" customFormat="true" ht="13.8" hidden="false" customHeight="false" outlineLevel="0" collapsed="false">
      <c r="A4" s="280"/>
      <c r="B4" s="294"/>
      <c r="C4" s="295"/>
      <c r="D4" s="296"/>
      <c r="E4" s="295"/>
      <c r="F4" s="295"/>
      <c r="G4" s="297"/>
      <c r="H4" s="297"/>
      <c r="I4" s="298" t="str">
        <f aca="false">PORTADA_PTO!E10</f>
        <v>Barcelona, 13 maig dimecres</v>
      </c>
      <c r="J4" s="286"/>
      <c r="K4" s="286"/>
      <c r="M4" s="0"/>
    </row>
    <row r="5" s="287" customFormat="true" ht="13.8" hidden="false" customHeight="false" outlineLevel="0" collapsed="false">
      <c r="A5" s="280"/>
      <c r="B5" s="299"/>
      <c r="C5" s="300"/>
      <c r="D5" s="301"/>
      <c r="E5" s="300"/>
      <c r="F5" s="300"/>
      <c r="G5" s="302"/>
      <c r="H5" s="303"/>
      <c r="I5" s="304"/>
      <c r="J5" s="286"/>
      <c r="K5" s="286"/>
      <c r="M5" s="0"/>
    </row>
    <row r="6" s="287" customFormat="true" ht="13.8" hidden="false" customHeight="false" outlineLevel="0" collapsed="false">
      <c r="A6" s="280"/>
      <c r="B6" s="388"/>
      <c r="C6" s="389"/>
      <c r="D6" s="390"/>
      <c r="E6" s="389"/>
      <c r="F6" s="389"/>
      <c r="G6" s="391"/>
      <c r="H6" s="392"/>
      <c r="I6" s="393"/>
      <c r="M6" s="0"/>
    </row>
    <row r="7" s="287" customFormat="true" ht="17.35" hidden="false" customHeight="false" outlineLevel="0" collapsed="false">
      <c r="A7" s="280"/>
      <c r="B7" s="305" t="s">
        <v>942</v>
      </c>
      <c r="C7" s="306"/>
      <c r="D7" s="307"/>
      <c r="E7" s="306"/>
      <c r="F7" s="306"/>
      <c r="G7" s="308"/>
      <c r="H7" s="309"/>
      <c r="I7" s="310" t="n">
        <f aca="false">SUM(I11:I31)/2</f>
        <v>27330.3024</v>
      </c>
      <c r="M7" s="0"/>
    </row>
    <row r="8" s="287" customFormat="true" ht="13.8" hidden="false" customHeight="false" outlineLevel="0" collapsed="false">
      <c r="A8" s="280"/>
      <c r="B8" s="311"/>
      <c r="C8" s="300"/>
      <c r="D8" s="301"/>
      <c r="E8" s="300"/>
      <c r="F8" s="300"/>
      <c r="G8" s="312"/>
      <c r="H8" s="303"/>
      <c r="I8" s="304"/>
      <c r="J8" s="286"/>
      <c r="K8" s="286"/>
      <c r="M8" s="0"/>
    </row>
    <row r="9" customFormat="false" ht="13.8" hidden="false" customHeight="false" outlineLevel="0" collapsed="false">
      <c r="A9" s="313" t="s">
        <v>832</v>
      </c>
      <c r="B9" s="314" t="s">
        <v>833</v>
      </c>
      <c r="C9" s="315" t="s">
        <v>834</v>
      </c>
      <c r="D9" s="316" t="s">
        <v>835</v>
      </c>
      <c r="E9" s="317"/>
      <c r="F9" s="317"/>
      <c r="G9" s="318" t="s">
        <v>836</v>
      </c>
      <c r="H9" s="319" t="s">
        <v>837</v>
      </c>
      <c r="I9" s="320" t="s">
        <v>838</v>
      </c>
      <c r="J9" s="394"/>
      <c r="K9" s="321"/>
    </row>
    <row r="10" customFormat="false" ht="13.8" hidden="false" customHeight="false" outlineLevel="0" collapsed="false">
      <c r="A10" s="313"/>
      <c r="B10" s="322"/>
      <c r="C10" s="323"/>
      <c r="D10" s="324"/>
      <c r="E10" s="325"/>
      <c r="F10" s="325"/>
      <c r="G10" s="326"/>
      <c r="H10" s="327"/>
      <c r="I10" s="328"/>
      <c r="J10" s="394"/>
      <c r="K10" s="321"/>
    </row>
    <row r="11" customFormat="false" ht="13.5" hidden="false" customHeight="true" outlineLevel="0" collapsed="false">
      <c r="A11" s="329"/>
      <c r="B11" s="330" t="s">
        <v>943</v>
      </c>
      <c r="C11" s="331"/>
      <c r="D11" s="332"/>
      <c r="E11" s="333"/>
      <c r="F11" s="333"/>
      <c r="G11" s="334"/>
      <c r="H11" s="335"/>
      <c r="I11" s="336" t="n">
        <f aca="false">SUM(I13:I32)</f>
        <v>27330.3024</v>
      </c>
    </row>
    <row r="12" customFormat="false" ht="13.5" hidden="false" customHeight="true" outlineLevel="0" collapsed="false"/>
    <row r="13" customFormat="false" ht="13.8" hidden="false" customHeight="false" outlineLevel="0" collapsed="false">
      <c r="A13" s="286" t="s">
        <v>729</v>
      </c>
      <c r="B13" s="337" t="s">
        <v>840</v>
      </c>
      <c r="C13" s="337" t="str">
        <f aca="false">+VLOOKUP($A13,BASEdades!$A$3:$AA$283,3,FALSE())</f>
        <v>kg</v>
      </c>
      <c r="D13" s="338" t="str">
        <f aca="false">+VLOOKUP($A13,BASEdades!$A$3:$AA$283,2,FALSE())</f>
        <v>Acer en perfils laminats en calent</v>
      </c>
      <c r="E13" s="338"/>
      <c r="F13" s="338"/>
      <c r="G13" s="339" t="n">
        <f aca="false">SUM(G16:G17)</f>
        <v>1489.2</v>
      </c>
      <c r="H13" s="340" t="n">
        <f aca="false">+VLOOKUP($A13,BASEdades!$A$3:$AA$283,7,FALSE())</f>
        <v>3.276</v>
      </c>
      <c r="I13" s="340" t="n">
        <f aca="false">G13*H13</f>
        <v>4878.6192</v>
      </c>
    </row>
    <row r="14" customFormat="false" ht="68.65" hidden="false" customHeight="false" outlineLevel="0" collapsed="false">
      <c r="A14" s="329"/>
      <c r="B14" s="323"/>
      <c r="C14" s="323"/>
      <c r="D14" s="341" t="str">
        <f aca="false">+VLOOKUP($A13,BASEdades!$A$3:$AA$283,4,FALSE())</f>
        <v>Acer UNE-EN 10025 S275JR, en elements estructurals formats per peces simples de perfils laminats en calent de les sèries L, LD, T, rodó, quadrat, rectangular o platina, acabat amb emprimació antioxidant, col·locats amb unions cargolades en obra, a una altura de més de 3 m.</v>
      </c>
      <c r="E14" s="342"/>
      <c r="F14" s="342"/>
      <c r="G14" s="343"/>
      <c r="H14" s="344"/>
      <c r="I14" s="345"/>
    </row>
    <row r="15" customFormat="false" ht="13.8" hidden="false" customHeight="false" outlineLevel="0" collapsed="false">
      <c r="A15" s="329"/>
      <c r="B15" s="323"/>
      <c r="C15" s="323"/>
      <c r="D15" s="346" t="str">
        <f aca="false">+VLOOKUP($A13,BASEdades!$A$3:$AA$283,5,FALSE())</f>
        <v>.Mides : segons disseny</v>
      </c>
      <c r="E15" s="347"/>
      <c r="F15" s="347"/>
      <c r="G15" s="348"/>
      <c r="H15" s="349"/>
    </row>
    <row r="16" customFormat="false" ht="13.8" hidden="false" customHeight="false" outlineLevel="0" collapsed="false">
      <c r="A16" s="329"/>
      <c r="B16" s="323"/>
      <c r="C16" s="323"/>
      <c r="D16" s="350" t="s">
        <v>944</v>
      </c>
      <c r="E16" s="348" t="n">
        <f aca="false">12*4.7</f>
        <v>56.4</v>
      </c>
      <c r="F16" s="348" t="n">
        <v>23</v>
      </c>
      <c r="G16" s="348" t="n">
        <f aca="false">E16*F16</f>
        <v>1297.2</v>
      </c>
      <c r="H16" s="349"/>
    </row>
    <row r="17" customFormat="false" ht="13.8" hidden="false" customHeight="false" outlineLevel="0" collapsed="false">
      <c r="A17" s="329"/>
      <c r="B17" s="323"/>
      <c r="C17" s="323"/>
      <c r="D17" s="350" t="s">
        <v>945</v>
      </c>
      <c r="E17" s="348" t="n">
        <f aca="false">0.001*12*2</f>
        <v>0.024</v>
      </c>
      <c r="F17" s="348" t="n">
        <v>8000</v>
      </c>
      <c r="G17" s="348" t="n">
        <f aca="false">E17*F17</f>
        <v>192</v>
      </c>
      <c r="I17" s="395"/>
    </row>
    <row r="18" customFormat="false" ht="13.8" hidden="false" customHeight="false" outlineLevel="0" collapsed="false">
      <c r="A18" s="329"/>
      <c r="B18" s="323"/>
      <c r="C18" s="323"/>
      <c r="D18" s="350"/>
      <c r="E18" s="348"/>
      <c r="F18" s="348"/>
      <c r="G18" s="348"/>
      <c r="I18" s="286"/>
    </row>
    <row r="19" customFormat="false" ht="13.8" hidden="false" customHeight="false" outlineLevel="0" collapsed="false">
      <c r="A19" s="277" t="s">
        <v>145</v>
      </c>
      <c r="B19" s="337" t="s">
        <v>859</v>
      </c>
      <c r="C19" s="337" t="str">
        <f aca="false">+VLOOKUP($A19,BASEdades!$A$3:$AA$283,3,FALSE())</f>
        <v>m2</v>
      </c>
      <c r="D19" s="367" t="str">
        <f aca="false">+VLOOKUP($A19,BASEdades!$A$3:$AA$298,2,FALSE())</f>
        <v>Pintat perfils metàl·lics</v>
      </c>
      <c r="E19" s="338"/>
      <c r="F19" s="338"/>
      <c r="G19" s="339" t="n">
        <f aca="false">SUM(G22:G23)</f>
        <v>70.08</v>
      </c>
      <c r="H19" s="340" t="n">
        <f aca="false">+VLOOKUP($A19,BASEdades!$A$3:$AA$283,7,FALSE())</f>
        <v>32.29</v>
      </c>
      <c r="I19" s="340" t="n">
        <f aca="false">G19*H19</f>
        <v>2262.8832</v>
      </c>
    </row>
    <row r="20" customFormat="false" ht="48.75" hidden="false" customHeight="true" outlineLevel="0" collapsed="false">
      <c r="A20" s="354"/>
      <c r="B20" s="368"/>
      <c r="C20" s="368"/>
      <c r="D20" s="353" t="str">
        <f aca="false">+VLOOKUP($A19,BASEdades!$A$3:$AA$283,4,FALSE())</f>
        <v>Aplicació manual de dues mans d'esmalt sintètic d'assecat ràpid, a base de resines alquídiques, color blanc, acabat brillant, (rendiment: 0,077 l/m² cada mà); prèvia aplicació d'una mà d'emprimació sintètica antioxidant d'assecat ràpid, a base de resines alquídiques, color gris, acabat mat (rendiment: 0,125 l/m²), sobre biga formada per peces simples de perfils laminats d'acer.</v>
      </c>
      <c r="E20" s="341"/>
      <c r="F20" s="341"/>
      <c r="G20" s="369"/>
      <c r="H20" s="344"/>
      <c r="I20" s="370"/>
    </row>
    <row r="21" customFormat="false" ht="14.9" hidden="false" customHeight="false" outlineLevel="0" collapsed="false">
      <c r="A21" s="354"/>
      <c r="B21" s="368"/>
      <c r="C21" s="368"/>
      <c r="D21" s="341" t="str">
        <f aca="false">+VLOOKUP($A19,BASEdades!$A$3:$AA$283,5,FALSE())</f>
        <v>.</v>
      </c>
      <c r="E21" s="341"/>
      <c r="F21" s="341"/>
      <c r="G21" s="369"/>
      <c r="H21" s="344"/>
      <c r="I21" s="370"/>
    </row>
    <row r="22" customFormat="false" ht="13.8" hidden="false" customHeight="false" outlineLevel="0" collapsed="false">
      <c r="A22" s="329"/>
      <c r="B22" s="323"/>
      <c r="C22" s="323"/>
      <c r="D22" s="350" t="s">
        <v>944</v>
      </c>
      <c r="E22" s="348" t="n">
        <v>0.6</v>
      </c>
      <c r="F22" s="348" t="n">
        <f aca="false">4.7*24</f>
        <v>112.8</v>
      </c>
      <c r="G22" s="348" t="n">
        <f aca="false">E22*F22</f>
        <v>67.68</v>
      </c>
      <c r="H22" s="349"/>
    </row>
    <row r="23" customFormat="false" ht="13.8" hidden="false" customHeight="false" outlineLevel="0" collapsed="false">
      <c r="A23" s="329"/>
      <c r="B23" s="323"/>
      <c r="C23" s="323"/>
      <c r="D23" s="350" t="s">
        <v>946</v>
      </c>
      <c r="E23" s="348" t="n">
        <v>0.1</v>
      </c>
      <c r="F23" s="348" t="n">
        <v>24</v>
      </c>
      <c r="G23" s="348" t="n">
        <f aca="false">E23*F23</f>
        <v>2.4</v>
      </c>
      <c r="I23" s="286"/>
    </row>
    <row r="24" customFormat="false" ht="13.8" hidden="false" customHeight="false" outlineLevel="0" collapsed="false">
      <c r="A24" s="354"/>
      <c r="B24" s="355"/>
      <c r="C24" s="355"/>
      <c r="D24" s="351"/>
      <c r="E24" s="352"/>
      <c r="F24" s="352"/>
      <c r="G24" s="352"/>
      <c r="H24" s="358"/>
      <c r="I24" s="279"/>
    </row>
    <row r="25" customFormat="false" ht="13.8" hidden="false" customHeight="false" outlineLevel="0" collapsed="false">
      <c r="A25" s="286" t="s">
        <v>620</v>
      </c>
      <c r="B25" s="337" t="s">
        <v>844</v>
      </c>
      <c r="C25" s="337" t="str">
        <f aca="false">+VLOOKUP($A25,BASEdades!$A$3:$AA$283,3,FALSE())</f>
        <v>ut</v>
      </c>
      <c r="D25" s="338" t="str">
        <f aca="false">+VLOOKUP($A25,BASEdades!$A$3:$AA$283,2,FALSE())</f>
        <v>Entramat de fusta per a façana</v>
      </c>
      <c r="E25" s="338"/>
      <c r="F25" s="338"/>
      <c r="G25" s="339" t="n">
        <f aca="false">SUM(G28)</f>
        <v>12</v>
      </c>
      <c r="H25" s="340" t="n">
        <f aca="false">+VLOOKUP($A25,BASEdades!$A$3:$AA$283,7,FALSE())</f>
        <v>1075.82</v>
      </c>
      <c r="I25" s="340" t="n">
        <f aca="false">G25*H25</f>
        <v>12909.84</v>
      </c>
    </row>
    <row r="26" customFormat="false" ht="78" hidden="false" customHeight="true" outlineLevel="0" collapsed="false">
      <c r="A26" s="329"/>
      <c r="B26" s="323"/>
      <c r="C26" s="323"/>
      <c r="D26" s="341" t="str">
        <f aca="false">+VLOOKUP($A25,BASEdades!$A$3:$AA$283,4,FALSE())</f>
        <v>Subministrament i col.locació de mòdul de pèrgola de fusta de 300x200cm format per un allistonat de fusta de pi de flandes tractat de 44x93mm disposats horitzontalment  i acargolats a rastrells de fusta de 44x93mm. Inclou el muntatge i fixació del mòdul a estructura existent amb tots els elements necessaris. </v>
      </c>
      <c r="E26" s="342"/>
      <c r="F26" s="342"/>
      <c r="G26" s="343"/>
      <c r="H26" s="344"/>
      <c r="I26" s="345"/>
    </row>
    <row r="27" customFormat="false" ht="13.8" hidden="false" customHeight="false" outlineLevel="0" collapsed="false">
      <c r="A27" s="329"/>
      <c r="B27" s="323"/>
      <c r="C27" s="323"/>
      <c r="D27" s="346" t="str">
        <f aca="false">+VLOOKUP($A25,BASEdades!$A$3:$AA$283,5,FALSE())</f>
        <v>.Mides : 200x300cm</v>
      </c>
      <c r="E27" s="347"/>
      <c r="F27" s="347"/>
      <c r="G27" s="348"/>
      <c r="H27" s="349"/>
    </row>
    <row r="28" customFormat="false" ht="13.8" hidden="false" customHeight="false" outlineLevel="0" collapsed="false">
      <c r="A28" s="329"/>
      <c r="B28" s="323"/>
      <c r="C28" s="323"/>
      <c r="D28" s="350" t="s">
        <v>947</v>
      </c>
      <c r="E28" s="348" t="n">
        <v>12</v>
      </c>
      <c r="F28" s="348" t="n">
        <v>1</v>
      </c>
      <c r="G28" s="348" t="n">
        <f aca="false">E28*F28</f>
        <v>12</v>
      </c>
      <c r="H28" s="349" t="n">
        <f aca="false">H25*F28</f>
        <v>1075.82</v>
      </c>
    </row>
    <row r="29" customFormat="false" ht="13.8" hidden="false" customHeight="false" outlineLevel="0" collapsed="false">
      <c r="A29" s="329"/>
      <c r="B29" s="323"/>
      <c r="C29" s="323"/>
      <c r="D29" s="350"/>
      <c r="E29" s="348"/>
      <c r="F29" s="348"/>
      <c r="G29" s="348"/>
      <c r="H29" s="349"/>
    </row>
    <row r="30" customFormat="false" ht="13.8" hidden="false" customHeight="false" outlineLevel="0" collapsed="false">
      <c r="A30" s="286" t="s">
        <v>626</v>
      </c>
      <c r="B30" s="337" t="s">
        <v>846</v>
      </c>
      <c r="C30" s="337" t="str">
        <f aca="false">+VLOOKUP($A30,BASEdades!$A$3:$AA$283,3,FALSE())</f>
        <v>ut</v>
      </c>
      <c r="D30" s="338" t="str">
        <f aca="false">+VLOOKUP($A30,BASEdades!$A$3:$AA$283,2,FALSE())</f>
        <v>Entramat de fusta per a pèrgola</v>
      </c>
      <c r="E30" s="338"/>
      <c r="F30" s="338"/>
      <c r="G30" s="339" t="n">
        <f aca="false">SUM(G33)</f>
        <v>6</v>
      </c>
      <c r="H30" s="340" t="n">
        <f aca="false">+VLOOKUP($A30,BASEdades!$A$3:$AA$283,7,FALSE())</f>
        <v>1213.16</v>
      </c>
      <c r="I30" s="340" t="n">
        <f aca="false">G30*H30</f>
        <v>7278.96</v>
      </c>
    </row>
    <row r="31" customFormat="false" ht="80.25" hidden="false" customHeight="true" outlineLevel="0" collapsed="false">
      <c r="A31" s="329"/>
      <c r="B31" s="323"/>
      <c r="C31" s="323"/>
      <c r="D31" s="341" t="str">
        <f aca="false">+VLOOKUP($A30,BASEdades!$A$3:$AA$283,4,FALSE())</f>
        <v>Subministrament i col.locació de mòdul de pèrgola de fusta de 300x300cm format per un allistonat de fusta de pi de flandes tractat de 44x93mm disposats verticalment  i acargolats a rastrells de fusta de 44x93mm. Inclou el muntatge i fixació del mòdul a estructura metàl·lica amb tots els elements necessaris. </v>
      </c>
      <c r="E31" s="342"/>
      <c r="F31" s="342"/>
      <c r="G31" s="343"/>
      <c r="H31" s="344"/>
      <c r="I31" s="345"/>
    </row>
    <row r="32" customFormat="false" ht="13.8" hidden="false" customHeight="false" outlineLevel="0" collapsed="false">
      <c r="A32" s="329"/>
      <c r="B32" s="323"/>
      <c r="C32" s="323"/>
      <c r="D32" s="346" t="str">
        <f aca="false">+VLOOKUP($A30,BASEdades!$A$3:$AA$283,5,FALSE())</f>
        <v>.Mides : 300x300cm</v>
      </c>
      <c r="E32" s="347"/>
      <c r="F32" s="347"/>
      <c r="G32" s="348"/>
      <c r="H32" s="349"/>
    </row>
    <row r="33" customFormat="false" ht="13.8" hidden="false" customHeight="false" outlineLevel="0" collapsed="false">
      <c r="A33" s="329"/>
      <c r="B33" s="323"/>
      <c r="C33" s="323"/>
      <c r="D33" s="350" t="s">
        <v>948</v>
      </c>
      <c r="E33" s="348" t="n">
        <v>6</v>
      </c>
      <c r="F33" s="348" t="n">
        <v>1</v>
      </c>
      <c r="G33" s="348" t="n">
        <f aca="false">E33*F33</f>
        <v>6</v>
      </c>
      <c r="H33" s="349" t="n">
        <f aca="false">H30*F33</f>
        <v>1213.16</v>
      </c>
    </row>
    <row r="34" customFormat="false" ht="13.5" hidden="false" customHeight="true" outlineLevel="0" collapsed="false"/>
  </sheetData>
  <printOptions headings="false" gridLines="false" gridLinesSet="true" horizontalCentered="false" verticalCentered="false"/>
  <pageMargins left="0.708333333333333" right="0.196527777777778" top="0.708333333333333" bottom="1.10208333333333" header="0.511811023622047" footer="0.39375"/>
  <pageSetup paperSize="9" scale="100" fitToWidth="1" fitToHeight="0" pageOrder="overThenDown" orientation="portrait" blackAndWhite="false" draft="false" cellComments="none" horizontalDpi="300" verticalDpi="300" copies="1"/>
  <headerFooter differentFirst="false" differentOddEven="false">
    <oddHeader/>
    <oddFooter>&amp;L&amp;"Swis721 Lt BT,Clar"&amp;8VALORACIÓ ECONÒMICA - ESCOLA BRESSOL MUNICIPAL ROCAFONDA&amp;C&amp;"Swis721 Lt BT,Clar"&amp;9&amp;Ke0e0e0  UMBRACLES</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47"/>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I5" activeCellId="0" sqref="I5"/>
    </sheetView>
  </sheetViews>
  <sheetFormatPr defaultColWidth="11.42578125" defaultRowHeight="13.8" customHeight="true" zeroHeight="false" outlineLevelRow="0" outlineLevelCol="0"/>
  <cols>
    <col collapsed="false" customWidth="true" hidden="true" outlineLevel="0" max="1" min="1" style="286" width="20.57"/>
    <col collapsed="false" customWidth="true" hidden="false" outlineLevel="0" max="2" min="2" style="286" width="5.42"/>
    <col collapsed="false" customWidth="true" hidden="false" outlineLevel="0" max="3" min="3" style="286" width="5.86"/>
    <col collapsed="false" customWidth="true" hidden="false" outlineLevel="0" max="4" min="4" style="387" width="49"/>
    <col collapsed="false" customWidth="true" hidden="false" outlineLevel="0" max="5" min="5" style="286" width="7.57"/>
    <col collapsed="false" customWidth="true" hidden="false" outlineLevel="0" max="6" min="6" style="286" width="6.14"/>
    <col collapsed="false" customWidth="true" hidden="false" outlineLevel="0" max="7" min="7" style="286" width="8.42"/>
    <col collapsed="false" customWidth="true" hidden="false" outlineLevel="0" max="8" min="8" style="304" width="12.86"/>
    <col collapsed="false" customWidth="true" hidden="false" outlineLevel="0" max="9" min="9" style="304" width="21.57"/>
    <col collapsed="false" customWidth="true" hidden="false" outlineLevel="0" max="10" min="10" style="286" width="17.15"/>
    <col collapsed="false" customWidth="true" hidden="false" outlineLevel="0" max="11" min="11" style="286" width="35.57"/>
    <col collapsed="false" customWidth="true" hidden="false" outlineLevel="0" max="12" min="12" style="286" width="3.57"/>
    <col collapsed="false" customWidth="false" hidden="false" outlineLevel="0" max="16383" min="14" style="286" width="11.43"/>
    <col collapsed="false" customWidth="true" hidden="false" outlineLevel="0" max="16384" min="16384" style="286" width="11.53"/>
  </cols>
  <sheetData>
    <row r="1" s="287" customFormat="true" ht="13.8" hidden="false" customHeight="false" outlineLevel="0" collapsed="false">
      <c r="A1" s="280"/>
      <c r="B1" s="281" t="str">
        <f aca="false">PORTADA_PTO!A17</f>
        <v>VALORACIÓ ECONÒMICA</v>
      </c>
      <c r="C1" s="282"/>
      <c r="D1" s="283"/>
      <c r="E1" s="282"/>
      <c r="F1" s="282"/>
      <c r="G1" s="282"/>
      <c r="H1" s="284"/>
      <c r="I1" s="285"/>
      <c r="J1" s="286"/>
      <c r="K1" s="286"/>
      <c r="M1" s="0"/>
    </row>
    <row r="2" s="287" customFormat="true" ht="13.8" hidden="false" customHeight="false" outlineLevel="0" collapsed="false">
      <c r="A2" s="280"/>
      <c r="B2" s="288" t="str">
        <f aca="false">PORTADA_PTO!A18</f>
        <v>TRANSFORMACIÓ DELS ESPAIS EXTERIORS DE L’ESCOLA BRESSOL MUNICIPAL DE ROCAFONDA</v>
      </c>
      <c r="C2" s="289"/>
      <c r="D2" s="290"/>
      <c r="E2" s="289"/>
      <c r="F2" s="289"/>
      <c r="G2" s="289"/>
      <c r="H2" s="291"/>
      <c r="I2" s="292"/>
      <c r="J2" s="286"/>
      <c r="K2" s="286"/>
      <c r="M2" s="0"/>
    </row>
    <row r="3" s="287" customFormat="true" ht="13.8" hidden="false" customHeight="false" outlineLevel="0" collapsed="false">
      <c r="A3" s="280"/>
      <c r="B3" s="293" t="str">
        <f aca="false">PORTADA_PTO!E14</f>
        <v>MATARÓ</v>
      </c>
      <c r="C3" s="289"/>
      <c r="D3" s="290"/>
      <c r="E3" s="289"/>
      <c r="F3" s="289"/>
      <c r="G3" s="289"/>
      <c r="H3" s="291"/>
      <c r="I3" s="292"/>
      <c r="J3" s="286"/>
      <c r="K3" s="286"/>
      <c r="M3" s="0"/>
    </row>
    <row r="4" s="287" customFormat="true" ht="13.8" hidden="false" customHeight="false" outlineLevel="0" collapsed="false">
      <c r="A4" s="280"/>
      <c r="B4" s="294"/>
      <c r="C4" s="295"/>
      <c r="D4" s="296"/>
      <c r="E4" s="295"/>
      <c r="F4" s="295"/>
      <c r="G4" s="297"/>
      <c r="H4" s="297"/>
      <c r="I4" s="298" t="str">
        <f aca="false">PORTADA_PTO!E10</f>
        <v>Barcelona, 13 maig dimecres</v>
      </c>
      <c r="J4" s="286"/>
      <c r="K4" s="286"/>
      <c r="M4" s="0"/>
    </row>
    <row r="5" s="287" customFormat="true" ht="13.8" hidden="false" customHeight="false" outlineLevel="0" collapsed="false">
      <c r="A5" s="280"/>
      <c r="B5" s="299"/>
      <c r="C5" s="300"/>
      <c r="D5" s="301"/>
      <c r="E5" s="300"/>
      <c r="F5" s="300"/>
      <c r="G5" s="302"/>
      <c r="H5" s="303"/>
      <c r="I5" s="304"/>
      <c r="J5" s="286"/>
      <c r="K5" s="286"/>
      <c r="M5" s="0"/>
    </row>
    <row r="6" s="287" customFormat="true" ht="13.8" hidden="false" customHeight="false" outlineLevel="0" collapsed="false">
      <c r="A6" s="280"/>
      <c r="B6" s="388"/>
      <c r="C6" s="389"/>
      <c r="D6" s="390"/>
      <c r="E6" s="389"/>
      <c r="F6" s="389"/>
      <c r="G6" s="391"/>
      <c r="H6" s="392"/>
      <c r="I6" s="393"/>
      <c r="M6" s="0"/>
    </row>
    <row r="7" s="287" customFormat="true" ht="17.35" hidden="false" customHeight="false" outlineLevel="0" collapsed="false">
      <c r="A7" s="396"/>
      <c r="B7" s="305" t="s">
        <v>949</v>
      </c>
      <c r="C7" s="306"/>
      <c r="D7" s="307"/>
      <c r="E7" s="306"/>
      <c r="F7" s="306"/>
      <c r="G7" s="308"/>
      <c r="H7" s="309"/>
      <c r="I7" s="310" t="n">
        <f aca="false">SUM(I11:I147)/2</f>
        <v>19806.7352704</v>
      </c>
      <c r="M7" s="0"/>
    </row>
    <row r="8" s="287" customFormat="true" ht="13.8" hidden="false" customHeight="false" outlineLevel="0" collapsed="false">
      <c r="A8" s="396"/>
      <c r="B8" s="311"/>
      <c r="C8" s="300"/>
      <c r="D8" s="301"/>
      <c r="E8" s="300"/>
      <c r="F8" s="300"/>
      <c r="G8" s="312"/>
      <c r="H8" s="303"/>
      <c r="I8" s="304"/>
      <c r="J8" s="286"/>
      <c r="K8" s="286"/>
      <c r="M8" s="0"/>
    </row>
    <row r="9" customFormat="false" ht="13.8" hidden="false" customHeight="false" outlineLevel="0" collapsed="false">
      <c r="A9" s="397" t="s">
        <v>832</v>
      </c>
      <c r="B9" s="314" t="s">
        <v>833</v>
      </c>
      <c r="C9" s="315" t="s">
        <v>834</v>
      </c>
      <c r="D9" s="316" t="s">
        <v>835</v>
      </c>
      <c r="E9" s="317"/>
      <c r="F9" s="317"/>
      <c r="G9" s="318" t="s">
        <v>836</v>
      </c>
      <c r="H9" s="319" t="s">
        <v>837</v>
      </c>
      <c r="I9" s="320" t="s">
        <v>838</v>
      </c>
      <c r="J9" s="394"/>
      <c r="K9" s="321"/>
    </row>
    <row r="10" customFormat="false" ht="13.8" hidden="false" customHeight="false" outlineLevel="0" collapsed="false">
      <c r="A10" s="397"/>
      <c r="B10" s="322"/>
      <c r="C10" s="323"/>
      <c r="D10" s="324"/>
      <c r="E10" s="325"/>
      <c r="F10" s="325"/>
      <c r="G10" s="326"/>
      <c r="H10" s="327"/>
      <c r="I10" s="328"/>
      <c r="J10" s="394"/>
      <c r="K10" s="321"/>
    </row>
    <row r="11" customFormat="false" ht="13.5" hidden="false" customHeight="true" outlineLevel="0" collapsed="false">
      <c r="A11" s="354"/>
      <c r="B11" s="330" t="s">
        <v>950</v>
      </c>
      <c r="C11" s="331"/>
      <c r="D11" s="332"/>
      <c r="E11" s="333"/>
      <c r="F11" s="333"/>
      <c r="G11" s="334"/>
      <c r="H11" s="335"/>
      <c r="I11" s="336" t="n">
        <f aca="false">SUM(I13:I147)</f>
        <v>19806.7352704</v>
      </c>
    </row>
    <row r="12" customFormat="false" ht="13.5" hidden="false" customHeight="true" outlineLevel="0" collapsed="false">
      <c r="A12" s="277"/>
    </row>
    <row r="13" customFormat="false" ht="13.8" hidden="false" customHeight="false" outlineLevel="0" collapsed="false">
      <c r="A13" s="277" t="s">
        <v>168</v>
      </c>
      <c r="B13" s="337" t="s">
        <v>840</v>
      </c>
      <c r="C13" s="337" t="str">
        <f aca="false">+VLOOKUP($A13,BASEdades!$A$3:$AA$283,3,FALSE())</f>
        <v>m</v>
      </c>
      <c r="D13" s="338" t="str">
        <f aca="false">+VLOOKUP($A13,BASEdades!$A$3:$AA$283,2,FALSE())</f>
        <v>Retirada de tanca metàl·lica existent</v>
      </c>
      <c r="E13" s="338"/>
      <c r="F13" s="338"/>
      <c r="G13" s="339" t="n">
        <f aca="false">SUM(G16)</f>
        <v>10</v>
      </c>
      <c r="H13" s="340" t="n">
        <f aca="false">+VLOOKUP($A13,BASEdades!$A$3:$AA$283,7,FALSE())</f>
        <v>20</v>
      </c>
      <c r="I13" s="340" t="n">
        <f aca="false">G13*H13</f>
        <v>200</v>
      </c>
    </row>
    <row r="14" customFormat="false" ht="41.75" hidden="false" customHeight="false" outlineLevel="0" collapsed="false">
      <c r="A14" s="354"/>
      <c r="B14" s="323"/>
      <c r="C14" s="323"/>
      <c r="D14" s="341" t="str">
        <f aca="false">+VLOOKUP($A13,BASEdades!$A$3:$AA$283,4,FALSE())</f>
        <v>Retirada de reixat metàl·lic de fins a 2 m d'alçària, com a màxim, sense enderroc de daus de formigó, a mà i càrrega manual i mecànica de runa sobre camió o contenidor</v>
      </c>
      <c r="E14" s="342"/>
      <c r="F14" s="342"/>
      <c r="G14" s="343"/>
      <c r="H14" s="344"/>
      <c r="I14" s="345"/>
    </row>
    <row r="15" customFormat="false" ht="13.8" hidden="false" customHeight="false" outlineLevel="0" collapsed="false">
      <c r="A15" s="354"/>
      <c r="B15" s="323"/>
      <c r="C15" s="323"/>
      <c r="D15" s="346" t="str">
        <f aca="false">+VLOOKUP($A13,BASEdades!$A$3:$AA$283,5,FALSE())</f>
        <v>.Mides de la tanca: mòduls 1.5m x 1m </v>
      </c>
      <c r="E15" s="347"/>
      <c r="F15" s="347"/>
      <c r="G15" s="348"/>
      <c r="H15" s="349"/>
    </row>
    <row r="16" customFormat="false" ht="13.8" hidden="false" customHeight="false" outlineLevel="0" collapsed="false">
      <c r="A16" s="354"/>
      <c r="B16" s="323"/>
      <c r="C16" s="323"/>
      <c r="D16" s="350" t="s">
        <v>951</v>
      </c>
      <c r="E16" s="348" t="n">
        <v>10</v>
      </c>
      <c r="F16" s="348" t="n">
        <v>1</v>
      </c>
      <c r="G16" s="348" t="n">
        <f aca="false">E16*F16</f>
        <v>10</v>
      </c>
      <c r="H16" s="349"/>
    </row>
    <row r="17" customFormat="false" ht="13.8" hidden="false" customHeight="false" outlineLevel="0" collapsed="false">
      <c r="A17" s="354"/>
      <c r="B17" s="323"/>
      <c r="C17" s="323"/>
      <c r="D17" s="350"/>
      <c r="E17" s="348"/>
      <c r="F17" s="348"/>
      <c r="G17" s="348"/>
      <c r="H17" s="349"/>
    </row>
    <row r="18" customFormat="false" ht="13.8" hidden="false" customHeight="false" outlineLevel="0" collapsed="false">
      <c r="A18" s="277" t="s">
        <v>88</v>
      </c>
      <c r="B18" s="337" t="s">
        <v>842</v>
      </c>
      <c r="C18" s="337" t="str">
        <f aca="false">+VLOOKUP($A18,BASEdades!$A$3:$AA$283,3,FALSE())</f>
        <v>h</v>
      </c>
      <c r="D18" s="338" t="str">
        <f aca="false">+VLOOKUP($A18,BASEdades!$A$3:$AA$283,2,FALSE())</f>
        <v>Ajudes de paleta</v>
      </c>
      <c r="E18" s="338"/>
      <c r="F18" s="338"/>
      <c r="G18" s="339" t="n">
        <v>16</v>
      </c>
      <c r="H18" s="340" t="n">
        <f aca="false">+VLOOKUP($A18,BASEdades!$A$3:$AA$283,7,FALSE())</f>
        <v>57.72</v>
      </c>
      <c r="I18" s="340" t="n">
        <f aca="false">G18*H18</f>
        <v>923.52</v>
      </c>
    </row>
    <row r="19" customFormat="false" ht="14.9" hidden="false" customHeight="false" outlineLevel="0" collapsed="false">
      <c r="A19" s="354"/>
      <c r="B19" s="323"/>
      <c r="C19" s="323"/>
      <c r="D19" s="341" t="str">
        <f aca="false">+VLOOKUP($A18,BASEdades!$A$3:$AA$283,4,FALSE())</f>
        <v>Jornada d'ajudes de paleta. Oficial i peò.</v>
      </c>
      <c r="E19" s="342"/>
      <c r="F19" s="342"/>
      <c r="G19" s="343"/>
      <c r="H19" s="344"/>
      <c r="I19" s="345"/>
    </row>
    <row r="20" customFormat="false" ht="13.8" hidden="false" customHeight="false" outlineLevel="0" collapsed="false">
      <c r="A20" s="354"/>
      <c r="B20" s="323"/>
      <c r="C20" s="323"/>
      <c r="D20" s="346" t="str">
        <f aca="false">+VLOOKUP($A18,BASEdades!$A$3:$AA$283,5,FALSE())</f>
        <v>.</v>
      </c>
      <c r="E20" s="347"/>
      <c r="F20" s="347"/>
      <c r="G20" s="348"/>
      <c r="H20" s="349"/>
    </row>
    <row r="21" customFormat="false" ht="13.8" hidden="false" customHeight="false" outlineLevel="0" collapsed="false">
      <c r="A21" s="354"/>
      <c r="B21" s="355"/>
      <c r="C21" s="355"/>
      <c r="D21" s="351"/>
      <c r="E21" s="352"/>
      <c r="F21" s="352"/>
      <c r="G21" s="352"/>
      <c r="H21" s="358"/>
      <c r="I21" s="279"/>
    </row>
    <row r="22" customFormat="false" ht="13.8" hidden="false" customHeight="false" outlineLevel="0" collapsed="false">
      <c r="A22" s="277" t="s">
        <v>24</v>
      </c>
      <c r="B22" s="337" t="s">
        <v>844</v>
      </c>
      <c r="C22" s="337" t="str">
        <f aca="false">+VLOOKUP($A22,BASEdades!$A$3:$AA$283,3,FALSE())</f>
        <v>m</v>
      </c>
      <c r="D22" s="367" t="str">
        <f aca="false">+VLOOKUP($A22,BASEdades!$A$3:$AA$298,2,FALSE())</f>
        <v>Tall de paviment</v>
      </c>
      <c r="E22" s="338"/>
      <c r="F22" s="338"/>
      <c r="G22" s="339" t="n">
        <f aca="false">SUM(G25)</f>
        <v>11.3</v>
      </c>
      <c r="H22" s="340" t="n">
        <f aca="false">+VLOOKUP($A22,BASEdades!$A$3:$AA$283,7,FALSE())</f>
        <v>5.7</v>
      </c>
      <c r="I22" s="340" t="n">
        <f aca="false">G22*H22</f>
        <v>64.41</v>
      </c>
    </row>
    <row r="23" customFormat="false" ht="55.2" hidden="false" customHeight="false" outlineLevel="0" collapsed="false">
      <c r="A23" s="354"/>
      <c r="B23" s="368"/>
      <c r="C23" s="368"/>
      <c r="D23" s="353" t="str">
        <f aca="false">+VLOOKUP($A22,BASEdades!$A$3:$AA$283,4,FALSE())</f>
        <v>Execució de tall en paviment de qualsevol tipus, de 10cm de fondària com a mínim, amb màquina tallajunts amb disc de diamant per a paviment, per a delimitar la zona a demolir, i càrrega manual sobre camió o contenidor</v>
      </c>
      <c r="E23" s="341"/>
      <c r="F23" s="341"/>
      <c r="G23" s="369"/>
      <c r="H23" s="344"/>
      <c r="I23" s="370"/>
    </row>
    <row r="24" customFormat="false" ht="14.9" hidden="false" customHeight="false" outlineLevel="0" collapsed="false">
      <c r="A24" s="354"/>
      <c r="B24" s="368"/>
      <c r="C24" s="368"/>
      <c r="D24" s="341" t="str">
        <f aca="false">+VLOOKUP($A22,BASEdades!$A$3:$AA$283,6,FALSE())</f>
        <v>.</v>
      </c>
      <c r="E24" s="348"/>
      <c r="F24" s="371"/>
      <c r="G24" s="348"/>
      <c r="H24" s="344"/>
      <c r="I24" s="370"/>
    </row>
    <row r="25" customFormat="false" ht="13.8" hidden="false" customHeight="false" outlineLevel="0" collapsed="false">
      <c r="A25" s="354"/>
      <c r="B25" s="323"/>
      <c r="C25" s="323"/>
      <c r="D25" s="350" t="s">
        <v>952</v>
      </c>
      <c r="E25" s="348" t="n">
        <v>11.3</v>
      </c>
      <c r="F25" s="348" t="n">
        <v>1</v>
      </c>
      <c r="G25" s="348" t="n">
        <f aca="false">E25*F25</f>
        <v>11.3</v>
      </c>
      <c r="H25" s="349"/>
    </row>
    <row r="26" customFormat="false" ht="13.8" hidden="false" customHeight="false" outlineLevel="0" collapsed="false">
      <c r="A26" s="354"/>
      <c r="B26" s="355"/>
      <c r="C26" s="355"/>
      <c r="D26" s="351"/>
      <c r="E26" s="352"/>
      <c r="F26" s="352"/>
      <c r="G26" s="352"/>
      <c r="H26" s="358"/>
      <c r="I26" s="279"/>
    </row>
    <row r="27" customFormat="false" ht="13.8" hidden="false" customHeight="false" outlineLevel="0" collapsed="false">
      <c r="A27" s="277" t="s">
        <v>33</v>
      </c>
      <c r="B27" s="337" t="s">
        <v>846</v>
      </c>
      <c r="C27" s="337" t="str">
        <f aca="false">+VLOOKUP($A27,BASEdades!$A$3:$AA$283,3,FALSE())</f>
        <v>m2</v>
      </c>
      <c r="D27" s="367" t="str">
        <f aca="false">+VLOOKUP($A27,BASEdades!$A$3:$AA$298,2,FALSE())</f>
        <v>Demolició de solera de formigó</v>
      </c>
      <c r="E27" s="338"/>
      <c r="F27" s="338"/>
      <c r="G27" s="339" t="n">
        <f aca="false">SUM(G30)</f>
        <v>4.52</v>
      </c>
      <c r="H27" s="340" t="n">
        <f aca="false">+VLOOKUP($A27,BASEdades!$A$3:$AA$283,7,FALSE())</f>
        <v>15</v>
      </c>
      <c r="I27" s="340" t="n">
        <f aca="false">G27*H27</f>
        <v>67.8</v>
      </c>
    </row>
    <row r="28" customFormat="false" ht="55.2" hidden="false" customHeight="false" outlineLevel="0" collapsed="false">
      <c r="A28" s="354"/>
      <c r="B28" s="368"/>
      <c r="C28" s="368"/>
      <c r="D28" s="353" t="str">
        <f aca="false">+VLOOKUP($A27,BASEdades!$A$3:$AA$283,4,FALSE())</f>
        <v>Demolició de solera de formigó en massa de fins a 15cm, mitjançant retroexcavadora amb martell picador. El preu inclou el picat i estesa del material per ser utilitzat com a grava de drenatge.</v>
      </c>
      <c r="E28" s="341"/>
      <c r="F28" s="341"/>
      <c r="G28" s="369"/>
      <c r="H28" s="344"/>
      <c r="I28" s="370"/>
    </row>
    <row r="29" customFormat="false" ht="14.9" hidden="false" customHeight="false" outlineLevel="0" collapsed="false">
      <c r="A29" s="354"/>
      <c r="B29" s="368"/>
      <c r="C29" s="368"/>
      <c r="D29" s="341" t="str">
        <f aca="false">+VLOOKUP($A27,BASEdades!$A$3:$AA$283,6,FALSE())</f>
        <v>.</v>
      </c>
      <c r="E29" s="348"/>
      <c r="F29" s="371"/>
      <c r="G29" s="348"/>
      <c r="H29" s="344"/>
      <c r="I29" s="370"/>
    </row>
    <row r="30" customFormat="false" ht="13.8" hidden="false" customHeight="false" outlineLevel="0" collapsed="false">
      <c r="A30" s="354"/>
      <c r="B30" s="323"/>
      <c r="C30" s="323"/>
      <c r="D30" s="350" t="s">
        <v>952</v>
      </c>
      <c r="E30" s="348" t="n">
        <v>11.3</v>
      </c>
      <c r="F30" s="348" t="n">
        <v>0.4</v>
      </c>
      <c r="G30" s="348" t="n">
        <f aca="false">E30*F30</f>
        <v>4.52</v>
      </c>
      <c r="H30" s="349"/>
    </row>
    <row r="31" customFormat="false" ht="13.8" hidden="false" customHeight="false" outlineLevel="0" collapsed="false">
      <c r="A31" s="354"/>
      <c r="B31" s="323"/>
      <c r="C31" s="323"/>
      <c r="D31" s="350"/>
      <c r="E31" s="348"/>
      <c r="F31" s="348"/>
      <c r="G31" s="348"/>
      <c r="H31" s="349"/>
    </row>
    <row r="32" customFormat="false" ht="13.8" hidden="false" customHeight="false" outlineLevel="0" collapsed="false">
      <c r="A32" s="277" t="s">
        <v>85</v>
      </c>
      <c r="B32" s="337" t="s">
        <v>848</v>
      </c>
      <c r="C32" s="337" t="str">
        <f aca="false">+VLOOKUP($A32,BASEdades!$A$3:$AA$283,3,FALSE())</f>
        <v>ut</v>
      </c>
      <c r="D32" s="367" t="str">
        <f aca="false">+VLOOKUP($A32,BASEdades!$A$3:$AA$298,2,FALSE())</f>
        <v>Mostreig</v>
      </c>
      <c r="E32" s="338"/>
      <c r="F32" s="338"/>
      <c r="G32" s="339" t="n">
        <f aca="false">SUM(G35)</f>
        <v>1</v>
      </c>
      <c r="H32" s="340" t="n">
        <f aca="false">+VLOOKUP($A32,BASEdades!$A$3:$AA$283,7,FALSE())</f>
        <v>135.39</v>
      </c>
      <c r="I32" s="340" t="n">
        <f aca="false">G32*H32</f>
        <v>135.39</v>
      </c>
    </row>
    <row r="33" customFormat="false" ht="68.65" hidden="false" customHeight="false" outlineLevel="0" collapsed="false">
      <c r="A33" s="354"/>
      <c r="B33" s="368"/>
      <c r="C33" s="368"/>
      <c r="D33" s="353" t="str">
        <f aca="false">+VLOOKUP($A32,BASEdades!$A$3:$AA$283,4,FALSE())</f>
        <v>Mostreig, realització de con d'Abrams, elaboració de les provetes, cura, recapçament i assaig a compressió d'una sèrie de cinc provetes cilíndriques de 15x30 cm, segons la norma UNE-EN 12390-1, UNE-EN 12390-2, UNE-EN 12390-3, UNE-EN 12350-1 i UNE-EN 12350-2</v>
      </c>
      <c r="E33" s="341"/>
      <c r="F33" s="341"/>
      <c r="G33" s="369"/>
      <c r="H33" s="344"/>
      <c r="I33" s="370"/>
    </row>
    <row r="34" customFormat="false" ht="14.9" hidden="false" customHeight="false" outlineLevel="0" collapsed="false">
      <c r="A34" s="354"/>
      <c r="B34" s="368"/>
      <c r="C34" s="368"/>
      <c r="D34" s="341" t="str">
        <f aca="false">+VLOOKUP($A32,BASEdades!$A$3:$AA$283,5,FALSE())</f>
        <v>.</v>
      </c>
      <c r="E34" s="341"/>
      <c r="F34" s="341"/>
      <c r="G34" s="369"/>
      <c r="H34" s="344"/>
      <c r="I34" s="370"/>
    </row>
    <row r="35" customFormat="false" ht="13.8" hidden="false" customHeight="false" outlineLevel="0" collapsed="false">
      <c r="A35" s="354"/>
      <c r="B35" s="323"/>
      <c r="C35" s="323"/>
      <c r="D35" s="350" t="s">
        <v>953</v>
      </c>
      <c r="E35" s="348" t="n">
        <v>1</v>
      </c>
      <c r="F35" s="348" t="n">
        <v>1</v>
      </c>
      <c r="G35" s="348" t="n">
        <f aca="false">E35*F35</f>
        <v>1</v>
      </c>
      <c r="H35" s="349"/>
    </row>
    <row r="36" customFormat="false" ht="13.8" hidden="false" customHeight="false" outlineLevel="0" collapsed="false">
      <c r="A36" s="354"/>
      <c r="B36" s="355"/>
      <c r="C36" s="355"/>
      <c r="D36" s="351"/>
      <c r="E36" s="352"/>
      <c r="F36" s="352"/>
      <c r="G36" s="352"/>
      <c r="H36" s="358"/>
      <c r="I36" s="279"/>
    </row>
    <row r="37" customFormat="false" ht="13.8" hidden="false" customHeight="false" outlineLevel="0" collapsed="false">
      <c r="A37" s="277" t="s">
        <v>71</v>
      </c>
      <c r="B37" s="337" t="s">
        <v>850</v>
      </c>
      <c r="C37" s="337" t="str">
        <f aca="false">+VLOOKUP($A37,BASEdades!$A$3:$AA$283,3,FALSE())</f>
        <v>m3</v>
      </c>
      <c r="D37" s="367" t="str">
        <f aca="false">+VLOOKUP($A37,BASEdades!$A$3:$AA$298,2,FALSE())</f>
        <v>Rebaix per a fonaments i pous</v>
      </c>
      <c r="E37" s="338"/>
      <c r="F37" s="338"/>
      <c r="G37" s="339" t="n">
        <f aca="false">SUM(G40)</f>
        <v>2.712</v>
      </c>
      <c r="H37" s="340" t="n">
        <f aca="false">+VLOOKUP($A37,BASEdades!$A$3:$AA$283,7,FALSE())</f>
        <v>33.63</v>
      </c>
      <c r="I37" s="340" t="n">
        <f aca="false">G37*H37</f>
        <v>91.20456</v>
      </c>
    </row>
    <row r="38" customFormat="false" ht="68.65" hidden="false" customHeight="false" outlineLevel="0" collapsed="false">
      <c r="A38" s="354"/>
      <c r="B38" s="368"/>
      <c r="C38" s="368"/>
      <c r="D38" s="353" t="str">
        <f aca="false">+VLOOKUP($A37,BASEdades!$A$3:$AA$283,4,FALSE())</f>
        <v>Excavació a cel obert, en terra d'argila semidura, amb mitjans mecànics i càrrega a camió. El preu no inclou el transport dels materials excavats. Excavació de rases per a fonaments o pous, en terreny existent, amb mitjans mecànics adients, i càrrega sobre camió o contenidor. </v>
      </c>
      <c r="E38" s="341"/>
      <c r="F38" s="341"/>
      <c r="G38" s="369"/>
      <c r="H38" s="344"/>
      <c r="I38" s="370"/>
    </row>
    <row r="39" customFormat="false" ht="14.9" hidden="false" customHeight="false" outlineLevel="0" collapsed="false">
      <c r="A39" s="354"/>
      <c r="B39" s="368"/>
      <c r="C39" s="368"/>
      <c r="D39" s="341" t="str">
        <f aca="false">+VLOOKUP($A37,BASEdades!$A$3:$AA$283,6,FALSE())</f>
        <v>.</v>
      </c>
      <c r="E39" s="348"/>
      <c r="F39" s="371"/>
      <c r="G39" s="348"/>
      <c r="H39" s="344"/>
      <c r="I39" s="370"/>
    </row>
    <row r="40" customFormat="false" ht="13.8" hidden="false" customHeight="false" outlineLevel="0" collapsed="false">
      <c r="A40" s="354"/>
      <c r="B40" s="323"/>
      <c r="C40" s="323"/>
      <c r="D40" s="350" t="s">
        <v>952</v>
      </c>
      <c r="E40" s="348" t="n">
        <f aca="false">G27</f>
        <v>4.52</v>
      </c>
      <c r="F40" s="348" t="n">
        <v>0.6</v>
      </c>
      <c r="G40" s="348" t="n">
        <f aca="false">E40*F40</f>
        <v>2.712</v>
      </c>
      <c r="H40" s="349"/>
    </row>
    <row r="41" customFormat="false" ht="13.8" hidden="false" customHeight="false" outlineLevel="0" collapsed="false">
      <c r="A41" s="354"/>
      <c r="B41" s="355"/>
      <c r="C41" s="355"/>
      <c r="D41" s="351"/>
      <c r="E41" s="352"/>
      <c r="F41" s="352"/>
      <c r="G41" s="352"/>
      <c r="H41" s="358"/>
      <c r="I41" s="279"/>
    </row>
    <row r="42" customFormat="false" ht="13.8" hidden="false" customHeight="false" outlineLevel="0" collapsed="false">
      <c r="A42" s="354"/>
      <c r="B42" s="355"/>
      <c r="C42" s="355"/>
      <c r="D42" s="351"/>
      <c r="E42" s="352"/>
      <c r="F42" s="352"/>
      <c r="G42" s="352"/>
      <c r="H42" s="358"/>
      <c r="I42" s="279"/>
    </row>
    <row r="43" customFormat="false" ht="13.8" hidden="false" customHeight="false" outlineLevel="0" collapsed="false">
      <c r="A43" s="277" t="s">
        <v>82</v>
      </c>
      <c r="B43" s="337" t="s">
        <v>954</v>
      </c>
      <c r="C43" s="337" t="str">
        <f aca="false">+VLOOKUP($A43,BASEdades!$A$3:$AA$283,3,FALSE())</f>
        <v>m3</v>
      </c>
      <c r="D43" s="367" t="str">
        <f aca="false">+VLOOKUP($A43,BASEdades!$A$3:$AA$298,2,FALSE())</f>
        <v>Fonament de formigó HA-25</v>
      </c>
      <c r="E43" s="338"/>
      <c r="F43" s="338"/>
      <c r="G43" s="339" t="n">
        <f aca="false">SUM(G46:G47)</f>
        <v>4.645</v>
      </c>
      <c r="H43" s="340" t="n">
        <f aca="false">+VLOOKUP($A43,BASEdades!$A$3:$AA$283,7,FALSE())</f>
        <v>265</v>
      </c>
      <c r="I43" s="340" t="n">
        <f aca="false">G43*H43</f>
        <v>1230.925</v>
      </c>
    </row>
    <row r="44" customFormat="false" ht="170.25" hidden="false" customHeight="true" outlineLevel="0" collapsed="false">
      <c r="A44" s="354"/>
      <c r="B44" s="368"/>
      <c r="C44" s="368"/>
      <c r="D44" s="353" t="str">
        <f aca="false">+VLOOKUP($A43,BASEdades!$A$3:$AA$283,4,FALSE())</f>
        <v>Fonament de formigÃ³ armat HA-25/B/20/IIa abocat des de camiÃ³ o qualsevol altre mitjÃ  alternatiu, amb armadura de fonament i esperes de murs que arrenquen del fonament amb barres tipus AP500 S de lÃ­mit elÃ stic &gt; = 500 N / mm2 d'acer en barres corrugades, amb una quantia de fins a 45 kg/mÂ³ (comprovada i validada per el contractista) i encofrat si Ã©s necessari per la tipologia del terreny amb tauler de fusta o qualsevol altre sistema. S'inclouen tots els elements necessaris per a la realització del fonament: formigó, acer, encofrat, perforacions, connectors i qualsevol altre element o treball auxiliar necessari per a la seva execució.   </v>
      </c>
      <c r="E44" s="341"/>
      <c r="F44" s="341"/>
      <c r="G44" s="369"/>
      <c r="H44" s="344"/>
      <c r="I44" s="370"/>
    </row>
    <row r="45" customFormat="false" ht="14.9" hidden="false" customHeight="false" outlineLevel="0" collapsed="false">
      <c r="A45" s="354"/>
      <c r="B45" s="361"/>
      <c r="C45" s="361"/>
      <c r="D45" s="362" t="str">
        <f aca="false">+VLOOKUP($A43,BASEdades!$A$3:$AA$283,6,FALSE())</f>
        <v>.</v>
      </c>
      <c r="E45" s="352"/>
      <c r="F45" s="372"/>
      <c r="G45" s="352"/>
      <c r="H45" s="359"/>
      <c r="I45" s="366"/>
    </row>
    <row r="46" customFormat="false" ht="13.8" hidden="false" customHeight="false" outlineLevel="0" collapsed="false">
      <c r="A46" s="329"/>
      <c r="B46" s="323"/>
      <c r="C46" s="323"/>
      <c r="D46" s="350" t="s">
        <v>955</v>
      </c>
      <c r="E46" s="348" t="n">
        <f aca="false">E40</f>
        <v>4.52</v>
      </c>
      <c r="F46" s="348" t="n">
        <v>1</v>
      </c>
      <c r="G46" s="348" t="n">
        <f aca="false">E46*F46</f>
        <v>4.52</v>
      </c>
      <c r="H46" s="349"/>
    </row>
    <row r="47" customFormat="false" ht="13.8" hidden="false" customHeight="false" outlineLevel="0" collapsed="false">
      <c r="A47" s="354"/>
      <c r="B47" s="323"/>
      <c r="C47" s="323"/>
      <c r="D47" s="350" t="s">
        <v>956</v>
      </c>
      <c r="E47" s="348" t="n">
        <v>0.5</v>
      </c>
      <c r="F47" s="348" t="n">
        <f aca="false">0.5*0.5</f>
        <v>0.25</v>
      </c>
      <c r="G47" s="348" t="n">
        <f aca="false">E47*F47</f>
        <v>0.125</v>
      </c>
      <c r="H47" s="349"/>
    </row>
    <row r="48" customFormat="false" ht="13.8" hidden="false" customHeight="false" outlineLevel="0" collapsed="false">
      <c r="A48" s="329"/>
      <c r="B48" s="323"/>
      <c r="C48" s="323"/>
      <c r="D48" s="350"/>
      <c r="E48" s="348"/>
      <c r="F48" s="348"/>
      <c r="G48" s="348"/>
      <c r="H48" s="349"/>
    </row>
    <row r="49" customFormat="false" ht="13.8" hidden="false" customHeight="false" outlineLevel="0" collapsed="false">
      <c r="A49" s="277" t="s">
        <v>723</v>
      </c>
      <c r="B49" s="337" t="s">
        <v>858</v>
      </c>
      <c r="C49" s="337" t="str">
        <f aca="false">+VLOOKUP($A49,BASEdades!$A$3:$AA$283,3,FALSE())</f>
        <v>kg</v>
      </c>
      <c r="D49" s="367" t="str">
        <f aca="false">+VLOOKUP($A49,BASEdades!$A$3:$AA$298,2,FALSE())</f>
        <v>Acer en bigues</v>
      </c>
      <c r="E49" s="338"/>
      <c r="F49" s="338"/>
      <c r="G49" s="339" t="n">
        <f aca="false">SUM(G52:G54)</f>
        <v>264.4287</v>
      </c>
      <c r="H49" s="340" t="n">
        <f aca="false">+VLOOKUP($A49,BASEdades!$A$3:$AA$283,7,FALSE())</f>
        <v>3.192</v>
      </c>
      <c r="I49" s="340" t="n">
        <f aca="false">G49*H49</f>
        <v>844.0564104</v>
      </c>
    </row>
    <row r="50" customFormat="false" ht="60.75" hidden="false" customHeight="true" outlineLevel="0" collapsed="false">
      <c r="A50" s="354"/>
      <c r="B50" s="368"/>
      <c r="C50" s="368"/>
      <c r="D50" s="353" t="str">
        <f aca="false">+VLOOKUP($A49,BASEdades!$A$3:$AA$283,4,FALSE())</f>
        <v>Acer UNE-EN 10025 S275JR, en bigues formades por peces simples de perfils laminats en calent de les sèries IPN, IPE, HEB, HEA, HEM o UPN, acabat amb emprimació antioxidant, amb unions soldades en obra, a una altura de fins a 3 m.</v>
      </c>
      <c r="E50" s="341"/>
      <c r="F50" s="341"/>
      <c r="G50" s="369"/>
      <c r="H50" s="344"/>
      <c r="I50" s="370"/>
    </row>
    <row r="51" customFormat="false" ht="14.9" hidden="false" customHeight="false" outlineLevel="0" collapsed="false">
      <c r="A51" s="354"/>
      <c r="B51" s="368"/>
      <c r="C51" s="368"/>
      <c r="D51" s="341" t="str">
        <f aca="false">+VLOOKUP($A49,BASEdades!$A$3:$AA$283,5,FALSE())</f>
        <v>.Mides : segons disseny</v>
      </c>
      <c r="E51" s="341"/>
      <c r="F51" s="341"/>
      <c r="G51" s="369"/>
      <c r="H51" s="344"/>
      <c r="I51" s="370"/>
    </row>
    <row r="52" customFormat="false" ht="13.8" hidden="false" customHeight="false" outlineLevel="0" collapsed="false">
      <c r="A52" s="329"/>
      <c r="B52" s="323"/>
      <c r="C52" s="323"/>
      <c r="D52" s="350" t="s">
        <v>956</v>
      </c>
      <c r="E52" s="348" t="n">
        <f aca="false">2.3*20.91</f>
        <v>48.093</v>
      </c>
      <c r="F52" s="348" t="n">
        <v>1</v>
      </c>
      <c r="G52" s="348" t="n">
        <f aca="false">E52*F52</f>
        <v>48.093</v>
      </c>
      <c r="H52" s="349"/>
    </row>
    <row r="53" customFormat="false" ht="13.8" hidden="false" customHeight="false" outlineLevel="0" collapsed="false">
      <c r="A53" s="329"/>
      <c r="B53" s="323"/>
      <c r="C53" s="323"/>
      <c r="D53" s="350" t="s">
        <v>957</v>
      </c>
      <c r="E53" s="348" t="n">
        <f aca="false">7.5*20.91</f>
        <v>156.825</v>
      </c>
      <c r="F53" s="348" t="n">
        <v>1</v>
      </c>
      <c r="G53" s="348" t="n">
        <f aca="false">E53*F53</f>
        <v>156.825</v>
      </c>
      <c r="H53" s="349"/>
    </row>
    <row r="54" customFormat="false" ht="13.8" hidden="false" customHeight="false" outlineLevel="0" collapsed="false">
      <c r="A54" s="329"/>
      <c r="B54" s="323"/>
      <c r="C54" s="323"/>
      <c r="D54" s="350" t="s">
        <v>958</v>
      </c>
      <c r="E54" s="348" t="n">
        <f aca="false">(2.76+2.87+2.98+3.08+3.19+3.3+3.41+3.52)*2.37</f>
        <v>59.5107</v>
      </c>
      <c r="F54" s="348" t="n">
        <v>1</v>
      </c>
      <c r="G54" s="348" t="n">
        <f aca="false">E54*F54</f>
        <v>59.5107</v>
      </c>
      <c r="H54" s="349"/>
    </row>
    <row r="55" customFormat="false" ht="13.8" hidden="false" customHeight="false" outlineLevel="0" collapsed="false">
      <c r="A55" s="329"/>
      <c r="B55" s="323"/>
      <c r="C55" s="323"/>
      <c r="D55" s="350"/>
      <c r="E55" s="348"/>
      <c r="F55" s="348"/>
      <c r="G55" s="348"/>
      <c r="H55" s="349"/>
    </row>
    <row r="56" customFormat="false" ht="13.8" hidden="false" customHeight="false" outlineLevel="0" collapsed="false">
      <c r="A56" s="277" t="s">
        <v>145</v>
      </c>
      <c r="B56" s="337" t="s">
        <v>859</v>
      </c>
      <c r="C56" s="337" t="str">
        <f aca="false">+VLOOKUP($A56,BASEdades!$A$3:$AA$283,3,FALSE())</f>
        <v>m2</v>
      </c>
      <c r="D56" s="367" t="str">
        <f aca="false">+VLOOKUP($A56,BASEdades!$A$3:$AA$298,2,FALSE())</f>
        <v>Pintat perfils metàl·lics</v>
      </c>
      <c r="E56" s="338"/>
      <c r="F56" s="338"/>
      <c r="G56" s="339" t="n">
        <f aca="false">SUM(G59:G61)</f>
        <v>10.804</v>
      </c>
      <c r="H56" s="340" t="n">
        <f aca="false">+VLOOKUP($A56,BASEdades!$A$3:$AA$283,7,FALSE())</f>
        <v>32.29</v>
      </c>
      <c r="I56" s="340" t="n">
        <f aca="false">G56*H56</f>
        <v>348.86116</v>
      </c>
    </row>
    <row r="57" customFormat="false" ht="48.75" hidden="false" customHeight="true" outlineLevel="0" collapsed="false">
      <c r="A57" s="354"/>
      <c r="B57" s="368"/>
      <c r="C57" s="368"/>
      <c r="D57" s="353" t="str">
        <f aca="false">+VLOOKUP($A56,BASEdades!$A$3:$AA$283,4,FALSE())</f>
        <v>Aplicació manual de dues mans d'esmalt sintètic d'assecat ràpid, a base de resines alquídiques, color blanc, acabat brillant, (rendiment: 0,077 l/m² cada mà); prèvia aplicació d'una mà d'emprimació sintètica antioxidant d'assecat ràpid, a base de resines alquídiques, color gris, acabat mat (rendiment: 0,125 l/m²), sobre biga formada per peces simples de perfils laminats d'acer.</v>
      </c>
      <c r="E57" s="341"/>
      <c r="F57" s="341"/>
      <c r="G57" s="369"/>
      <c r="H57" s="344"/>
      <c r="I57" s="370"/>
    </row>
    <row r="58" customFormat="false" ht="14.9" hidden="false" customHeight="false" outlineLevel="0" collapsed="false">
      <c r="A58" s="354"/>
      <c r="B58" s="368"/>
      <c r="C58" s="368"/>
      <c r="D58" s="341" t="str">
        <f aca="false">+VLOOKUP($A56,BASEdades!$A$3:$AA$283,5,FALSE())</f>
        <v>.</v>
      </c>
      <c r="E58" s="341"/>
      <c r="F58" s="341"/>
      <c r="G58" s="369"/>
      <c r="H58" s="344"/>
      <c r="I58" s="370"/>
    </row>
    <row r="59" customFormat="false" ht="13.8" hidden="false" customHeight="false" outlineLevel="0" collapsed="false">
      <c r="A59" s="329"/>
      <c r="B59" s="323"/>
      <c r="C59" s="323"/>
      <c r="D59" s="350" t="str">
        <f aca="false">D52</f>
        <v>.pilar coberta</v>
      </c>
      <c r="E59" s="348" t="n">
        <v>0.59</v>
      </c>
      <c r="F59" s="348" t="n">
        <v>2.3</v>
      </c>
      <c r="G59" s="348" t="n">
        <f aca="false">E59*F59</f>
        <v>1.357</v>
      </c>
      <c r="H59" s="349"/>
    </row>
    <row r="60" customFormat="false" ht="13.8" hidden="false" customHeight="false" outlineLevel="0" collapsed="false">
      <c r="A60" s="329"/>
      <c r="B60" s="323"/>
      <c r="C60" s="323"/>
      <c r="D60" s="350" t="str">
        <f aca="false">D53</f>
        <v>.biga</v>
      </c>
      <c r="E60" s="348" t="n">
        <v>0.59</v>
      </c>
      <c r="F60" s="348" t="n">
        <v>7.5</v>
      </c>
      <c r="G60" s="348" t="n">
        <f aca="false">E60*F60</f>
        <v>4.425</v>
      </c>
      <c r="H60" s="349"/>
    </row>
    <row r="61" customFormat="false" ht="13.8" hidden="false" customHeight="false" outlineLevel="0" collapsed="false">
      <c r="A61" s="329"/>
      <c r="B61" s="323"/>
      <c r="C61" s="323"/>
      <c r="D61" s="350" t="str">
        <f aca="false">D54</f>
        <v>.rastrells per a suport de coberta</v>
      </c>
      <c r="E61" s="348" t="n">
        <v>0.2</v>
      </c>
      <c r="F61" s="348" t="n">
        <f aca="false">2.76+2.87+2.98+3.08+3.19+3.3+3.41+3.52</f>
        <v>25.11</v>
      </c>
      <c r="G61" s="348" t="n">
        <f aca="false">E61*F61</f>
        <v>5.022</v>
      </c>
      <c r="H61" s="349"/>
    </row>
    <row r="62" customFormat="false" ht="13.8" hidden="false" customHeight="false" outlineLevel="0" collapsed="false">
      <c r="A62" s="354"/>
      <c r="B62" s="355"/>
      <c r="C62" s="355"/>
      <c r="D62" s="351"/>
      <c r="E62" s="352"/>
      <c r="F62" s="352"/>
      <c r="G62" s="352"/>
      <c r="H62" s="358"/>
      <c r="I62" s="279"/>
    </row>
    <row r="63" customFormat="false" ht="13.8" hidden="false" customHeight="false" outlineLevel="0" collapsed="false">
      <c r="A63" s="277" t="s">
        <v>127</v>
      </c>
      <c r="B63" s="337" t="s">
        <v>959</v>
      </c>
      <c r="C63" s="337" t="str">
        <f aca="false">+VLOOKUP($A63,BASEdades!$A$3:$AA$283,3,FALSE())</f>
        <v>m3</v>
      </c>
      <c r="D63" s="367" t="str">
        <f aca="false">+VLOOKUP($A63,BASEdades!$A$3:$AA$298,2,FALSE())</f>
        <v>Reomplert localitzat amb àrids reciclats</v>
      </c>
      <c r="E63" s="338"/>
      <c r="F63" s="338"/>
      <c r="G63" s="339" t="n">
        <f aca="false">G66</f>
        <v>13.528</v>
      </c>
      <c r="H63" s="340" t="n">
        <f aca="false">+VLOOKUP($A63,BASEdades!$A$3:$AA$283,7,FALSE())</f>
        <v>32.48</v>
      </c>
      <c r="I63" s="340" t="n">
        <f aca="false">G63*H63</f>
        <v>439.38944</v>
      </c>
    </row>
    <row r="64" customFormat="false" ht="62.25" hidden="false" customHeight="true" outlineLevel="0" collapsed="false">
      <c r="A64" s="354"/>
      <c r="B64" s="368"/>
      <c r="C64" s="368"/>
      <c r="D64" s="353" t="str">
        <f aca="false">+VLOOKUP($A63,BASEdades!$A$3:$AA$283,4,FALSE())</f>
        <v>Reomplert localitzat amb àrid reciclat mixt de formigó i material ceràmic de 40 a 80 mm de diàmetre i compactació en tongades successives de 20 cm d'espessor màxim amb picó vibrant de guiat manual.
</v>
      </c>
      <c r="E64" s="341"/>
      <c r="F64" s="341"/>
      <c r="G64" s="369"/>
      <c r="H64" s="344"/>
      <c r="I64" s="370"/>
    </row>
    <row r="65" customFormat="false" ht="14.9" hidden="false" customHeight="false" outlineLevel="0" collapsed="false">
      <c r="A65" s="354"/>
      <c r="B65" s="368"/>
      <c r="C65" s="368"/>
      <c r="D65" s="341" t="str">
        <f aca="false">+VLOOKUP($A63,BASEdades!$A$3:$AA$283,5,FALSE())</f>
        <v>.</v>
      </c>
      <c r="E65" s="341"/>
      <c r="F65" s="341"/>
      <c r="G65" s="369"/>
      <c r="H65" s="344"/>
      <c r="I65" s="370"/>
    </row>
    <row r="66" customFormat="false" ht="13.8" hidden="false" customHeight="false" outlineLevel="0" collapsed="false">
      <c r="A66" s="329"/>
      <c r="B66" s="323"/>
      <c r="C66" s="323"/>
      <c r="D66" s="350" t="s">
        <v>960</v>
      </c>
      <c r="E66" s="348" t="n">
        <f aca="false">3.56*3.8</f>
        <v>13.528</v>
      </c>
      <c r="F66" s="348" t="n">
        <v>1</v>
      </c>
      <c r="G66" s="348" t="n">
        <f aca="false">E66*F66</f>
        <v>13.528</v>
      </c>
      <c r="H66" s="349"/>
    </row>
    <row r="67" customFormat="false" ht="13.8" hidden="false" customHeight="false" outlineLevel="0" collapsed="false">
      <c r="A67" s="354"/>
      <c r="B67" s="355"/>
      <c r="C67" s="355"/>
      <c r="D67" s="351"/>
      <c r="E67" s="352"/>
      <c r="F67" s="352"/>
      <c r="G67" s="352"/>
      <c r="H67" s="358"/>
      <c r="I67" s="279"/>
    </row>
    <row r="68" customFormat="false" ht="13.8" hidden="false" customHeight="false" outlineLevel="0" collapsed="false">
      <c r="A68" s="277" t="s">
        <v>132</v>
      </c>
      <c r="B68" s="337" t="s">
        <v>961</v>
      </c>
      <c r="C68" s="337" t="str">
        <f aca="false">+VLOOKUP($A68,BASEdades!$A$3:$AA$283,3,FALSE())</f>
        <v>m2</v>
      </c>
      <c r="D68" s="367" t="str">
        <f aca="false">+VLOOKUP($A68,BASEdades!$A$3:$AA$298,2,FALSE())</f>
        <v>Subbase de grava 15cm</v>
      </c>
      <c r="E68" s="338"/>
      <c r="F68" s="338"/>
      <c r="G68" s="339" t="n">
        <f aca="false">SUM(G71)</f>
        <v>26</v>
      </c>
      <c r="H68" s="340" t="n">
        <f aca="false">+VLOOKUP($A68,BASEdades!$A$3:$AA$283,7,FALSE())</f>
        <v>15.315</v>
      </c>
      <c r="I68" s="340" t="n">
        <f aca="false">G68*H68</f>
        <v>398.19</v>
      </c>
    </row>
    <row r="69" customFormat="false" ht="46.5" hidden="false" customHeight="true" outlineLevel="0" collapsed="false">
      <c r="A69" s="354"/>
      <c r="B69" s="368"/>
      <c r="C69" s="368"/>
      <c r="D69" s="353" t="str">
        <f aca="false">+VLOOKUP($A68,BASEdades!$A$3:$AA$283,4,FALSE())</f>
        <v>Subbase de grava de pedrera de pedra granítica de 15 cm de gruix i, grandària màxima de 50 a 70 mm, amb estesa i piconatge del material.
</v>
      </c>
      <c r="E69" s="341"/>
      <c r="F69" s="341"/>
      <c r="G69" s="369"/>
      <c r="H69" s="344"/>
      <c r="I69" s="370"/>
    </row>
    <row r="70" customFormat="false" ht="14.9" hidden="false" customHeight="false" outlineLevel="0" collapsed="false">
      <c r="A70" s="354"/>
      <c r="B70" s="368"/>
      <c r="C70" s="368"/>
      <c r="D70" s="341" t="str">
        <f aca="false">+VLOOKUP($A68,BASEdades!$A$3:$AA$283,5,FALSE())</f>
        <v>.</v>
      </c>
      <c r="E70" s="341"/>
      <c r="F70" s="341"/>
      <c r="G70" s="369"/>
      <c r="H70" s="344"/>
      <c r="I70" s="370"/>
    </row>
    <row r="71" customFormat="false" ht="13.8" hidden="false" customHeight="false" outlineLevel="0" collapsed="false">
      <c r="A71" s="354"/>
      <c r="B71" s="323"/>
      <c r="C71" s="323"/>
      <c r="D71" s="350" t="str">
        <f aca="false">D66</f>
        <v>.solera</v>
      </c>
      <c r="E71" s="348" t="n">
        <v>26</v>
      </c>
      <c r="F71" s="348" t="n">
        <v>1</v>
      </c>
      <c r="G71" s="348" t="n">
        <f aca="false">E71*F71</f>
        <v>26</v>
      </c>
      <c r="H71" s="349"/>
    </row>
    <row r="72" customFormat="false" ht="13.8" hidden="false" customHeight="false" outlineLevel="0" collapsed="false">
      <c r="A72" s="354"/>
      <c r="B72" s="355"/>
      <c r="C72" s="355"/>
      <c r="D72" s="351"/>
      <c r="E72" s="352"/>
      <c r="F72" s="352"/>
      <c r="G72" s="352"/>
      <c r="H72" s="358"/>
      <c r="I72" s="279"/>
    </row>
    <row r="73" customFormat="false" ht="13.8" hidden="false" customHeight="false" outlineLevel="0" collapsed="false">
      <c r="A73" s="277" t="s">
        <v>135</v>
      </c>
      <c r="B73" s="337" t="s">
        <v>962</v>
      </c>
      <c r="C73" s="337" t="str">
        <f aca="false">+VLOOKUP($A73,BASEdades!$A$3:$AA$283,3,FALSE())</f>
        <v>m2</v>
      </c>
      <c r="D73" s="367" t="str">
        <f aca="false">+VLOOKUP($A73,BASEdades!$A$3:$AA$298,2,FALSE())</f>
        <v>Làmina separadora polietilè</v>
      </c>
      <c r="E73" s="338"/>
      <c r="F73" s="338"/>
      <c r="G73" s="339" t="n">
        <f aca="false">G76</f>
        <v>26</v>
      </c>
      <c r="H73" s="340" t="n">
        <f aca="false">+VLOOKUP($A73,BASEdades!$A$3:$AA$283,7,FALSE())</f>
        <v>2.3</v>
      </c>
      <c r="I73" s="340" t="n">
        <f aca="false">G73*H73</f>
        <v>59.8</v>
      </c>
    </row>
    <row r="74" customFormat="false" ht="28.35" hidden="false" customHeight="false" outlineLevel="0" collapsed="false">
      <c r="A74" s="354"/>
      <c r="B74" s="368"/>
      <c r="C74" s="368"/>
      <c r="D74" s="353" t="str">
        <f aca="false">+VLOOKUP($A73,BASEdades!$A$3:$AA$283,4,FALSE())</f>
        <v>Làmina separadora de polietilè de 150 μm i 144 g/m2, col·locada no adherida</v>
      </c>
      <c r="E74" s="341"/>
      <c r="F74" s="341"/>
      <c r="G74" s="369"/>
      <c r="H74" s="344"/>
      <c r="I74" s="370"/>
    </row>
    <row r="75" customFormat="false" ht="14.9" hidden="false" customHeight="false" outlineLevel="0" collapsed="false">
      <c r="A75" s="354"/>
      <c r="B75" s="368"/>
      <c r="C75" s="368"/>
      <c r="D75" s="341" t="str">
        <f aca="false">+VLOOKUP($A73,BASEdades!$A$3:$AA$283,5,FALSE())</f>
        <v>.</v>
      </c>
      <c r="E75" s="341"/>
      <c r="F75" s="341"/>
      <c r="G75" s="369"/>
      <c r="H75" s="344"/>
      <c r="I75" s="370"/>
    </row>
    <row r="76" customFormat="false" ht="13.8" hidden="false" customHeight="false" outlineLevel="0" collapsed="false">
      <c r="A76" s="354"/>
      <c r="B76" s="323"/>
      <c r="C76" s="323"/>
      <c r="D76" s="350" t="str">
        <f aca="false">D71</f>
        <v>.solera</v>
      </c>
      <c r="E76" s="348" t="n">
        <f aca="false">E71</f>
        <v>26</v>
      </c>
      <c r="F76" s="348" t="n">
        <v>1</v>
      </c>
      <c r="G76" s="348" t="n">
        <f aca="false">E76*F76</f>
        <v>26</v>
      </c>
      <c r="H76" s="349"/>
    </row>
    <row r="77" customFormat="false" ht="13.8" hidden="false" customHeight="false" outlineLevel="0" collapsed="false">
      <c r="A77" s="354"/>
      <c r="B77" s="323"/>
      <c r="C77" s="323"/>
      <c r="D77" s="350"/>
      <c r="E77" s="348"/>
      <c r="F77" s="348"/>
      <c r="G77" s="348"/>
      <c r="H77" s="349"/>
    </row>
    <row r="78" customFormat="false" ht="13.8" hidden="false" customHeight="false" outlineLevel="0" collapsed="false">
      <c r="A78" s="277" t="s">
        <v>117</v>
      </c>
      <c r="B78" s="337" t="s">
        <v>963</v>
      </c>
      <c r="C78" s="337" t="str">
        <f aca="false">+VLOOKUP($A78,BASEdades!$A$3:$AA$283,3,FALSE())</f>
        <v>m2</v>
      </c>
      <c r="D78" s="367" t="str">
        <f aca="false">+VLOOKUP($A78,BASEdades!$A$3:$AA$298,2,FALSE())</f>
        <v>Solera de formigó amb acabat raspatllat</v>
      </c>
      <c r="E78" s="338"/>
      <c r="F78" s="338"/>
      <c r="G78" s="339" t="n">
        <f aca="false">G81</f>
        <v>26</v>
      </c>
      <c r="H78" s="340" t="n">
        <f aca="false">+VLOOKUP($A78,BASEdades!$A$3:$AA$283,7,FALSE())</f>
        <v>35.12</v>
      </c>
      <c r="I78" s="340" t="n">
        <f aca="false">G78*H78</f>
        <v>913.12</v>
      </c>
    </row>
    <row r="79" customFormat="false" ht="108.95" hidden="false" customHeight="false" outlineLevel="0" collapsed="false">
      <c r="A79" s="354"/>
      <c r="B79" s="368"/>
      <c r="C79" s="368"/>
      <c r="D79" s="353" t="str">
        <f aca="false">+VLOOKUP($A78,BASEdades!$A$3:$AA$283,4,FALSE())</f>
        <v>Paviment de formigó amb fibres de polipropilè monofilamentoses, amb aditiu, per a paviment continu i rampes, de 15 cm de gruix, tipus HAF-30/F/12/IIa+E, amb fibres sintètiques amb una quantia de 600 gr/m³, abocat des de camió o qualsevol altre mitjà alternatiu, mestrejat i acabat amb regle vibrat i posterior raspatllat per deixar la textura indicada per la DF. Inclou armadura interior tipus AP500SD amb malla electrosoldada ME 15x15 cm D:6-6 mm B500SD UNE-EN 10080</v>
      </c>
      <c r="E79" s="341"/>
      <c r="F79" s="341"/>
      <c r="G79" s="369"/>
      <c r="H79" s="344"/>
      <c r="I79" s="370"/>
    </row>
    <row r="80" customFormat="false" ht="14.9" hidden="false" customHeight="false" outlineLevel="0" collapsed="false">
      <c r="A80" s="354"/>
      <c r="B80" s="368"/>
      <c r="C80" s="368"/>
      <c r="D80" s="341" t="str">
        <f aca="false">+VLOOKUP($A78,BASEdades!$A$3:$AA$283,5,FALSE())</f>
        <v>.</v>
      </c>
      <c r="E80" s="341"/>
      <c r="F80" s="341"/>
      <c r="G80" s="369"/>
      <c r="H80" s="344"/>
      <c r="I80" s="370"/>
    </row>
    <row r="81" customFormat="false" ht="13.8" hidden="false" customHeight="false" outlineLevel="0" collapsed="false">
      <c r="A81" s="354"/>
      <c r="B81" s="323"/>
      <c r="C81" s="323"/>
      <c r="D81" s="350" t="str">
        <f aca="false">D76</f>
        <v>.solera</v>
      </c>
      <c r="E81" s="348" t="n">
        <f aca="false">E76</f>
        <v>26</v>
      </c>
      <c r="F81" s="348" t="n">
        <v>1</v>
      </c>
      <c r="G81" s="348" t="n">
        <f aca="false">E81*F81</f>
        <v>26</v>
      </c>
      <c r="H81" s="349"/>
    </row>
    <row r="82" customFormat="false" ht="13.8" hidden="false" customHeight="false" outlineLevel="0" collapsed="false">
      <c r="A82" s="354"/>
      <c r="B82" s="323"/>
      <c r="C82" s="323"/>
      <c r="D82" s="350"/>
      <c r="E82" s="348"/>
      <c r="F82" s="348"/>
      <c r="G82" s="348"/>
      <c r="H82" s="349"/>
    </row>
    <row r="83" customFormat="false" ht="13.8" hidden="false" customHeight="false" outlineLevel="0" collapsed="false">
      <c r="A83" s="286" t="s">
        <v>154</v>
      </c>
      <c r="B83" s="337" t="s">
        <v>964</v>
      </c>
      <c r="C83" s="337" t="str">
        <f aca="false">+VLOOKUP($A83,BASEdades!$A$3:$AA$283,3,FALSE())</f>
        <v>m2</v>
      </c>
      <c r="D83" s="367" t="str">
        <f aca="false">+VLOOKUP($A83,BASEdades!$A$3:$AA$298,2,FALSE())</f>
        <v>Paviment exterior formigó abuixardat</v>
      </c>
      <c r="E83" s="338"/>
      <c r="F83" s="338"/>
      <c r="G83" s="339" t="n">
        <f aca="false">SUM(G86:G87)</f>
        <v>22</v>
      </c>
      <c r="H83" s="340" t="n">
        <f aca="false">+VLOOKUP($A83,BASEdades!$A$3:$AA$283,7,FALSE())</f>
        <v>52.02</v>
      </c>
      <c r="I83" s="340" t="n">
        <f aca="false">G83*H83</f>
        <v>1144.44</v>
      </c>
    </row>
    <row r="84" customFormat="false" ht="82.05" hidden="false" customHeight="false" outlineLevel="0" collapsed="false">
      <c r="A84" s="329"/>
      <c r="B84" s="368"/>
      <c r="C84" s="368"/>
      <c r="D84" s="353" t="str">
        <f aca="false">+VLOOKUP($A83,BASEdades!$A$3:$AA$283,4,FALSE())</f>
        <v>Paviment exterior de peces prefabricades de formigó abuixardat, monocapa, , 40x60x7 cm, color blanc, resistència a flexió T, càrrega de ruptura 4, resistència al desgast H, col·locades picat de pitxell amb morter de ciment M-5 de 3 cm de gruix, deixant entre elles un junt de separació d'entre 1,5 i 3 mm. Inclús reomplert de junts amb sorra silícia de mida 0/2 mm</v>
      </c>
      <c r="E84" s="341"/>
      <c r="F84" s="341"/>
      <c r="G84" s="369"/>
      <c r="H84" s="344"/>
      <c r="I84" s="370"/>
    </row>
    <row r="85" customFormat="false" ht="14.9" hidden="false" customHeight="false" outlineLevel="0" collapsed="false">
      <c r="A85" s="329"/>
      <c r="B85" s="368"/>
      <c r="C85" s="368"/>
      <c r="D85" s="341" t="str">
        <f aca="false">+VLOOKUP($A83,BASEdades!$A$3:$AA$283,5,FALSE())</f>
        <v>.</v>
      </c>
      <c r="E85" s="341"/>
      <c r="F85" s="341"/>
      <c r="G85" s="369"/>
      <c r="H85" s="344"/>
      <c r="I85" s="370"/>
    </row>
    <row r="86" customFormat="false" ht="13.8" hidden="false" customHeight="false" outlineLevel="0" collapsed="false">
      <c r="A86" s="329"/>
      <c r="B86" s="323"/>
      <c r="C86" s="323"/>
      <c r="D86" s="350" t="s">
        <v>965</v>
      </c>
      <c r="E86" s="348" t="n">
        <v>19</v>
      </c>
      <c r="F86" s="348" t="n">
        <v>1</v>
      </c>
      <c r="G86" s="348" t="n">
        <f aca="false">E86*F86</f>
        <v>19</v>
      </c>
      <c r="H86" s="349"/>
    </row>
    <row r="87" customFormat="false" ht="13.8" hidden="false" customHeight="false" outlineLevel="0" collapsed="false">
      <c r="A87" s="329"/>
      <c r="B87" s="323"/>
      <c r="C87" s="323"/>
      <c r="D87" s="350" t="s">
        <v>966</v>
      </c>
      <c r="E87" s="348" t="n">
        <v>3</v>
      </c>
      <c r="F87" s="348" t="n">
        <v>1</v>
      </c>
      <c r="G87" s="348" t="n">
        <f aca="false">E87*F87</f>
        <v>3</v>
      </c>
      <c r="H87" s="349"/>
    </row>
    <row r="88" customFormat="false" ht="13.8" hidden="false" customHeight="false" outlineLevel="0" collapsed="false">
      <c r="A88" s="354"/>
      <c r="B88" s="323"/>
      <c r="C88" s="323"/>
      <c r="D88" s="350"/>
      <c r="E88" s="348"/>
      <c r="F88" s="348"/>
      <c r="G88" s="348"/>
      <c r="H88" s="349"/>
    </row>
    <row r="89" customFormat="false" ht="13.8" hidden="false" customHeight="false" outlineLevel="0" collapsed="false">
      <c r="A89" s="277" t="s">
        <v>111</v>
      </c>
      <c r="B89" s="337" t="s">
        <v>967</v>
      </c>
      <c r="C89" s="337" t="str">
        <f aca="false">+VLOOKUP($A89,BASEdades!$A$3:$AA$283,3,FALSE())</f>
        <v>m2</v>
      </c>
      <c r="D89" s="367" t="str">
        <f aca="false">+VLOOKUP($A89,BASEdades!$A$3:$AA$298,2,FALSE())</f>
        <v>Mur de bloc a una cara vista</v>
      </c>
      <c r="E89" s="338"/>
      <c r="F89" s="338"/>
      <c r="G89" s="339" t="n">
        <f aca="false">G92</f>
        <v>39.124</v>
      </c>
      <c r="H89" s="340" t="n">
        <f aca="false">+VLOOKUP($A89,BASEdades!$A$3:$AA$283,7,FALSE())</f>
        <v>77</v>
      </c>
      <c r="I89" s="340" t="n">
        <f aca="false">G89*H89</f>
        <v>3012.548</v>
      </c>
    </row>
    <row r="90" customFormat="false" ht="48.75" hidden="false" customHeight="true" outlineLevel="0" collapsed="false">
      <c r="A90" s="354"/>
      <c r="B90" s="368"/>
      <c r="C90" s="368"/>
      <c r="D90" s="353" t="str">
        <f aca="false">+VLOOKUP($A89,BASEdades!$A$3:$AA$283,4,FALSE())</f>
        <v>Mur de contenció de terres de 20 cm d'espessor de fàbrica, de bloc de formigó tipus "H", de càrrega, per anar vist, color gris, 50x20x20 cm, categoria I, resistència normalitzada R10 (10 N/mm²), amb els junts verticals encadellats en sec i els junts horitzontals amb morter de ciment industrial, color gris, M-7,5, subministrat a granel, amb blocs de cantonada, reforçat amb formigó de replè, HA-25/B/12/XC2, preparat en obra, abocament amb mitjans manuals, i armadura d'acer UNE-EN 10080 B 400 S, amb una quantia aproximada de 20 kg/m². Inclús tubs de PVC per drenatge i filferro de lligar.
</v>
      </c>
      <c r="E90" s="341"/>
      <c r="F90" s="341"/>
      <c r="G90" s="369"/>
      <c r="H90" s="344"/>
      <c r="I90" s="370"/>
    </row>
    <row r="91" customFormat="false" ht="14.9" hidden="false" customHeight="false" outlineLevel="0" collapsed="false">
      <c r="A91" s="354"/>
      <c r="B91" s="368"/>
      <c r="C91" s="368"/>
      <c r="D91" s="341" t="str">
        <f aca="false">+VLOOKUP($A89,BASEdades!$A$3:$AA$283,5,FALSE())</f>
        <v>.</v>
      </c>
      <c r="E91" s="341"/>
      <c r="F91" s="341"/>
      <c r="G91" s="369"/>
      <c r="H91" s="344"/>
      <c r="I91" s="370"/>
    </row>
    <row r="92" customFormat="false" ht="13.8" hidden="false" customHeight="false" outlineLevel="0" collapsed="false">
      <c r="A92" s="329"/>
      <c r="B92" s="323"/>
      <c r="C92" s="323"/>
      <c r="D92" s="350" t="s">
        <v>968</v>
      </c>
      <c r="E92" s="348" t="n">
        <f aca="false">(3.8*3.08)+27.42</f>
        <v>39.124</v>
      </c>
      <c r="F92" s="348" t="n">
        <v>1</v>
      </c>
      <c r="G92" s="348" t="n">
        <f aca="false">E92*F92</f>
        <v>39.124</v>
      </c>
      <c r="H92" s="349"/>
    </row>
    <row r="93" customFormat="false" ht="13.8" hidden="false" customHeight="false" outlineLevel="0" collapsed="false">
      <c r="A93" s="329"/>
      <c r="B93" s="323"/>
      <c r="C93" s="323"/>
      <c r="D93" s="350"/>
      <c r="E93" s="348"/>
      <c r="F93" s="348"/>
      <c r="G93" s="348"/>
      <c r="H93" s="349"/>
    </row>
    <row r="94" customFormat="false" ht="13.8" hidden="false" customHeight="false" outlineLevel="0" collapsed="false">
      <c r="A94" s="277" t="s">
        <v>151</v>
      </c>
      <c r="B94" s="337" t="s">
        <v>969</v>
      </c>
      <c r="C94" s="337" t="str">
        <f aca="false">+VLOOKUP($A94,BASEdades!$A$3:$AA$283,3,FALSE())</f>
        <v>m2</v>
      </c>
      <c r="D94" s="367" t="str">
        <f aca="false">+VLOOKUP($A94,BASEdades!$A$3:$AA$298,2,FALSE())</f>
        <v>Revestiment amb morter acrílic i àrid projectat</v>
      </c>
      <c r="E94" s="338"/>
      <c r="F94" s="338"/>
      <c r="G94" s="339" t="n">
        <f aca="false">G98</f>
        <v>39.124</v>
      </c>
      <c r="H94" s="340" t="n">
        <f aca="false">+VLOOKUP($A94,BASEdades!$A$3:$AA$283,7,FALSE())</f>
        <v>52.3</v>
      </c>
      <c r="I94" s="340" t="n">
        <f aca="false">G94*H94</f>
        <v>2046.1852</v>
      </c>
    </row>
    <row r="95" customFormat="false" ht="68.65" hidden="false" customHeight="false" outlineLevel="0" collapsed="false">
      <c r="A95" s="354"/>
      <c r="B95" s="368"/>
      <c r="C95" s="368"/>
      <c r="D95" s="353" t="str">
        <f aca="false">+VLOOKUP($A94,BASEdades!$A$3:$AA$283,4,FALSE())</f>
        <v>Revestiment decoratiu en façanes, amb morter suport, color a escollir, acabat granulat imitació pedra natural, amb un rendiment de 5 kg/m² i àrid de marbre, procedent de matxucatge, de granulometria compresa entre 5 i 9 mm, per a la realització de la capa d'acabat en revestiments continus.</v>
      </c>
      <c r="E95" s="341"/>
      <c r="F95" s="341"/>
      <c r="G95" s="369"/>
      <c r="H95" s="344"/>
      <c r="I95" s="370"/>
    </row>
    <row r="96" customFormat="false" ht="14.9" hidden="false" customHeight="false" outlineLevel="0" collapsed="false">
      <c r="A96" s="354"/>
      <c r="B96" s="368"/>
      <c r="C96" s="368"/>
      <c r="D96" s="341" t="str">
        <f aca="false">+VLOOKUP($A94,BASEdades!$A$3:$AA$283,5,FALSE())</f>
        <v>.</v>
      </c>
      <c r="E96" s="341"/>
      <c r="F96" s="341"/>
      <c r="G96" s="369"/>
      <c r="H96" s="344"/>
      <c r="I96" s="370"/>
    </row>
    <row r="97" customFormat="false" ht="13.8" hidden="false" customHeight="false" outlineLevel="0" collapsed="false">
      <c r="A97" s="354"/>
      <c r="B97" s="323"/>
      <c r="C97" s="323"/>
      <c r="D97" s="350" t="s">
        <v>970</v>
      </c>
      <c r="E97" s="348" t="n">
        <f aca="false">(3.8*3.08)+27.42</f>
        <v>39.124</v>
      </c>
      <c r="F97" s="348" t="n">
        <v>1</v>
      </c>
      <c r="G97" s="348" t="n">
        <f aca="false">E97*F97</f>
        <v>39.124</v>
      </c>
      <c r="H97" s="349"/>
    </row>
    <row r="98" customFormat="false" ht="13.8" hidden="false" customHeight="false" outlineLevel="0" collapsed="false">
      <c r="A98" s="354"/>
      <c r="B98" s="323"/>
      <c r="C98" s="323"/>
      <c r="D98" s="350" t="s">
        <v>971</v>
      </c>
      <c r="E98" s="348" t="n">
        <f aca="false">E92</f>
        <v>39.124</v>
      </c>
      <c r="F98" s="348" t="n">
        <v>1</v>
      </c>
      <c r="G98" s="348" t="n">
        <f aca="false">E98*F98</f>
        <v>39.124</v>
      </c>
      <c r="H98" s="349"/>
    </row>
    <row r="99" customFormat="false" ht="13.8" hidden="false" customHeight="false" outlineLevel="0" collapsed="false">
      <c r="A99" s="354"/>
      <c r="B99" s="355"/>
      <c r="C99" s="355"/>
      <c r="D99" s="351"/>
      <c r="E99" s="352"/>
      <c r="F99" s="352"/>
      <c r="G99" s="352"/>
      <c r="H99" s="358"/>
      <c r="I99" s="279"/>
    </row>
    <row r="100" customFormat="false" ht="13.8" hidden="false" customHeight="false" outlineLevel="0" collapsed="false">
      <c r="A100" s="277" t="s">
        <v>711</v>
      </c>
      <c r="B100" s="337" t="s">
        <v>972</v>
      </c>
      <c r="C100" s="337" t="str">
        <f aca="false">+VLOOKUP($A100,BASEdades!$A$3:$AA$283,3,FALSE())</f>
        <v>m2</v>
      </c>
      <c r="D100" s="367" t="str">
        <f aca="false">+VLOOKUP($A100,BASEdades!$A$3:$AA$298,2,FALSE())</f>
        <v>Coberta sandwitx</v>
      </c>
      <c r="E100" s="338"/>
      <c r="F100" s="338"/>
      <c r="G100" s="339" t="n">
        <f aca="false">G103</f>
        <v>27.4</v>
      </c>
      <c r="H100" s="340" t="n">
        <f aca="false">+VLOOKUP($A100,BASEdades!$A$3:$AA$283,7,FALSE())</f>
        <v>74.21</v>
      </c>
      <c r="I100" s="340" t="n">
        <f aca="false">G100*H100</f>
        <v>2033.354</v>
      </c>
    </row>
    <row r="101" customFormat="false" ht="126" hidden="false" customHeight="true" outlineLevel="0" collapsed="false">
      <c r="A101" s="354"/>
      <c r="B101" s="368"/>
      <c r="C101" s="368"/>
      <c r="D101" s="353" t="str">
        <f aca="false">+VLOOKUP($A100,BASEdades!$A$3:$AA$283,4,FALSE())</f>
        <v>Coberta amb panell sandwitx de planxes d'acer amb aillament de poliuretà (PUR B2), reacció al foc BS2 d0, amb un gruix total de 120 mm, amb la cara exterior i la cara interior perfilada en lames, galvanitzat en calent i prelacat en ambdues cares, gruix de les planxes (ext/int) 0.5/0,5 mm, junt longitudinal encadellat, amb fixació oculta amb tapajunts. Inclou tapajunts i remats perimetrals, elements de carener i totes les trobades del panell amb altres elements. Tot complert i totalment acabat.</v>
      </c>
      <c r="E101" s="341"/>
      <c r="F101" s="341"/>
      <c r="G101" s="369"/>
      <c r="H101" s="344"/>
      <c r="I101" s="370"/>
    </row>
    <row r="102" customFormat="false" ht="14.9" hidden="false" customHeight="false" outlineLevel="0" collapsed="false">
      <c r="A102" s="354"/>
      <c r="B102" s="368"/>
      <c r="C102" s="368"/>
      <c r="D102" s="341" t="str">
        <f aca="false">+VLOOKUP($A100,BASEdades!$A$3:$AA$283,5,FALSE())</f>
        <v>.</v>
      </c>
      <c r="E102" s="341"/>
      <c r="F102" s="341"/>
      <c r="G102" s="369"/>
      <c r="H102" s="344"/>
      <c r="I102" s="370"/>
    </row>
    <row r="103" customFormat="false" ht="13.8" hidden="false" customHeight="false" outlineLevel="0" collapsed="false">
      <c r="A103" s="354"/>
      <c r="B103" s="323"/>
      <c r="C103" s="323"/>
      <c r="D103" s="350" t="s">
        <v>968</v>
      </c>
      <c r="E103" s="348" t="n">
        <v>27.4</v>
      </c>
      <c r="F103" s="348" t="n">
        <v>1</v>
      </c>
      <c r="G103" s="348" t="n">
        <f aca="false">E103*F103</f>
        <v>27.4</v>
      </c>
      <c r="H103" s="349"/>
    </row>
    <row r="104" customFormat="false" ht="13.8" hidden="false" customHeight="false" outlineLevel="0" collapsed="false">
      <c r="A104" s="354"/>
      <c r="B104" s="323"/>
      <c r="C104" s="323"/>
      <c r="D104" s="350"/>
      <c r="E104" s="348"/>
      <c r="F104" s="348"/>
      <c r="G104" s="348"/>
      <c r="H104" s="349"/>
    </row>
    <row r="105" customFormat="false" ht="13.8" hidden="false" customHeight="false" outlineLevel="0" collapsed="false">
      <c r="A105" s="277" t="s">
        <v>714</v>
      </c>
      <c r="B105" s="337" t="s">
        <v>973</v>
      </c>
      <c r="C105" s="337" t="str">
        <f aca="false">+VLOOKUP($A105,BASEdades!$A$3:$AA$283,3,FALSE())</f>
        <v>m2</v>
      </c>
      <c r="D105" s="367" t="str">
        <f aca="false">+VLOOKUP($A105,BASEdades!$A$3:$AA$298,2,FALSE())</f>
        <v>Canal de recollida d'aigua</v>
      </c>
      <c r="E105" s="338"/>
      <c r="F105" s="338"/>
      <c r="G105" s="339" t="n">
        <f aca="false">G108</f>
        <v>7.8</v>
      </c>
      <c r="H105" s="340" t="n">
        <f aca="false">+VLOOKUP($A105,BASEdades!$A$3:$AA$283,7,FALSE())</f>
        <v>38.24</v>
      </c>
      <c r="I105" s="340" t="n">
        <f aca="false">G105*H105</f>
        <v>298.272</v>
      </c>
    </row>
    <row r="106" customFormat="false" ht="55.2" hidden="false" customHeight="false" outlineLevel="0" collapsed="false">
      <c r="A106" s="354"/>
      <c r="B106" s="368"/>
      <c r="C106" s="368"/>
      <c r="D106" s="353" t="str">
        <f aca="false">+VLOOKUP($A105,BASEdades!$A$3:$AA$283,4,FALSE())</f>
        <v>Canal exterior de secció rectangular de planxa d'acer galvanitzat i prelacat de 0,5 mm de gruix, de 120x120 mm de secció interior, col·locada amb peces especials fixada a coberta lleugera i connectada al baixant.</v>
      </c>
      <c r="E106" s="341"/>
      <c r="F106" s="341"/>
      <c r="G106" s="369"/>
      <c r="H106" s="344"/>
      <c r="I106" s="370"/>
    </row>
    <row r="107" customFormat="false" ht="14.9" hidden="false" customHeight="false" outlineLevel="0" collapsed="false">
      <c r="A107" s="354"/>
      <c r="B107" s="368"/>
      <c r="C107" s="368"/>
      <c r="D107" s="341" t="str">
        <f aca="false">+VLOOKUP($A105,BASEdades!$A$3:$AA$283,5,FALSE())</f>
        <v>.</v>
      </c>
      <c r="E107" s="341"/>
      <c r="F107" s="341"/>
      <c r="G107" s="369"/>
      <c r="H107" s="344"/>
      <c r="I107" s="370"/>
    </row>
    <row r="108" customFormat="false" ht="13.8" hidden="false" customHeight="false" outlineLevel="0" collapsed="false">
      <c r="A108" s="354"/>
      <c r="B108" s="323"/>
      <c r="C108" s="323"/>
      <c r="D108" s="350" t="s">
        <v>968</v>
      </c>
      <c r="E108" s="348" t="n">
        <v>7.8</v>
      </c>
      <c r="F108" s="348" t="n">
        <v>1</v>
      </c>
      <c r="G108" s="348" t="n">
        <f aca="false">E108*F108</f>
        <v>7.8</v>
      </c>
      <c r="H108" s="349"/>
    </row>
    <row r="109" customFormat="false" ht="13.8" hidden="false" customHeight="false" outlineLevel="0" collapsed="false">
      <c r="A109" s="354"/>
      <c r="B109" s="323"/>
      <c r="C109" s="323"/>
      <c r="D109" s="350"/>
      <c r="E109" s="348"/>
      <c r="F109" s="348"/>
      <c r="G109" s="348"/>
      <c r="H109" s="349"/>
    </row>
    <row r="110" customFormat="false" ht="13.8" hidden="false" customHeight="false" outlineLevel="0" collapsed="false">
      <c r="A110" s="286" t="s">
        <v>164</v>
      </c>
      <c r="B110" s="337" t="s">
        <v>974</v>
      </c>
      <c r="C110" s="337" t="str">
        <f aca="false">+VLOOKUP($A110,BASEdades!$A$3:$AA$283,3,FALSE())</f>
        <v>ut</v>
      </c>
      <c r="D110" s="367" t="str">
        <f aca="false">+VLOOKUP($A110,BASEdades!$A$3:$AA$298,2,FALSE())</f>
        <v>Baixant de pluvials</v>
      </c>
      <c r="E110" s="338"/>
      <c r="F110" s="338"/>
      <c r="G110" s="339" t="n">
        <v>1</v>
      </c>
      <c r="H110" s="340" t="n">
        <f aca="false">+VLOOKUP($A110,BASEdades!$A$3:$AA$283,7,FALSE())</f>
        <v>17.64</v>
      </c>
      <c r="I110" s="340" t="n">
        <f aca="false">G110*H110</f>
        <v>17.64</v>
      </c>
    </row>
    <row r="111" customFormat="false" ht="105" hidden="false" customHeight="true" outlineLevel="0" collapsed="false">
      <c r="A111" s="354"/>
      <c r="B111" s="368"/>
      <c r="C111" s="368"/>
      <c r="D111" s="353" t="str">
        <f aca="false">+VLOOKUP($A110,BASEdades!$A$3:$AA$283,4,FALSE())</f>
        <v>Baixant circular de PVC amb òxid de titani, de Ø 80 mm, color gris clar, per a recollida d'aigües, formada per peces preformades, amb sistema d'unió per endoll i enganxat mitjançant adhesiu, col·locades amb brides metàl·liques, instal·lada a l'exterior de l'edifici. Inclús líquid netejador, adhesiu per a tubs i accessoris de PVC, connexions, colzes i peces especials.
</v>
      </c>
      <c r="E111" s="362"/>
      <c r="F111" s="362"/>
      <c r="G111" s="385"/>
      <c r="H111" s="359"/>
      <c r="I111" s="366"/>
    </row>
    <row r="112" customFormat="false" ht="14.9" hidden="false" customHeight="false" outlineLevel="0" collapsed="false">
      <c r="A112" s="354"/>
      <c r="B112" s="361"/>
      <c r="C112" s="361"/>
      <c r="D112" s="362" t="str">
        <f aca="false">+VLOOKUP($A110,BASEdades!$A$3:$AA$283,5,FALSE())</f>
        <v>.</v>
      </c>
      <c r="E112" s="362"/>
      <c r="F112" s="362"/>
      <c r="G112" s="385"/>
      <c r="H112" s="359"/>
      <c r="I112" s="366"/>
    </row>
    <row r="113" customFormat="false" ht="13.8" hidden="false" customHeight="false" outlineLevel="0" collapsed="false">
      <c r="A113" s="354"/>
      <c r="B113" s="323"/>
      <c r="C113" s="323"/>
      <c r="D113" s="350"/>
      <c r="E113" s="348"/>
      <c r="F113" s="348"/>
      <c r="G113" s="348"/>
      <c r="H113" s="349"/>
    </row>
    <row r="114" customFormat="false" ht="13.8" hidden="false" customHeight="false" outlineLevel="0" collapsed="false">
      <c r="A114" s="286" t="s">
        <v>689</v>
      </c>
      <c r="B114" s="375" t="s">
        <v>975</v>
      </c>
      <c r="C114" s="337" t="str">
        <f aca="false">+VLOOKUP($A114,BASEdades!$A$3:$AA$283,3,FALSE())</f>
        <v>h</v>
      </c>
      <c r="D114" s="367" t="str">
        <f aca="false">+VLOOKUP($A114,BASEdades!$A$3:$AA$298,2,FALSE())</f>
        <v>Modificació serralleria existent</v>
      </c>
      <c r="E114" s="338"/>
      <c r="F114" s="338"/>
      <c r="G114" s="339" t="n">
        <f aca="false">SUM(G117:G118)</f>
        <v>24</v>
      </c>
      <c r="H114" s="340" t="n">
        <f aca="false">+VLOOKUP($A114,BASEdades!$A$3:$AA$283,7,FALSE())</f>
        <v>69</v>
      </c>
      <c r="I114" s="340" t="n">
        <f aca="false">G114*H114</f>
        <v>1656</v>
      </c>
    </row>
    <row r="115" customFormat="false" ht="14.9" hidden="false" customHeight="false" outlineLevel="0" collapsed="false">
      <c r="A115" s="329"/>
      <c r="B115" s="368"/>
      <c r="C115" s="368"/>
      <c r="D115" s="353" t="str">
        <f aca="false">+VLOOKUP($A114,BASEdades!$A$3:$AA$283,4,FALSE())</f>
        <v>Jornada d'oficial de manyà.</v>
      </c>
      <c r="E115" s="341"/>
      <c r="F115" s="341"/>
      <c r="G115" s="369"/>
      <c r="H115" s="344"/>
      <c r="I115" s="370"/>
    </row>
    <row r="116" customFormat="false" ht="14.9" hidden="false" customHeight="false" outlineLevel="0" collapsed="false">
      <c r="A116" s="329"/>
      <c r="B116" s="368"/>
      <c r="C116" s="368"/>
      <c r="D116" s="341" t="str">
        <f aca="false">+VLOOKUP($A114,BASEdades!$A$3:$AA$283,5,FALSE())</f>
        <v>.</v>
      </c>
      <c r="E116" s="341"/>
      <c r="F116" s="341"/>
      <c r="G116" s="369"/>
      <c r="H116" s="344"/>
      <c r="I116" s="370"/>
    </row>
    <row r="117" customFormat="false" ht="13.8" hidden="false" customHeight="false" outlineLevel="0" collapsed="false">
      <c r="B117" s="323"/>
      <c r="C117" s="323"/>
      <c r="D117" s="350" t="s">
        <v>976</v>
      </c>
      <c r="E117" s="348" t="n">
        <v>8</v>
      </c>
      <c r="F117" s="348" t="n">
        <v>1</v>
      </c>
      <c r="G117" s="348" t="n">
        <f aca="false">E117*F117</f>
        <v>8</v>
      </c>
      <c r="H117" s="344"/>
      <c r="I117" s="345"/>
    </row>
    <row r="118" customFormat="false" ht="13.8" hidden="false" customHeight="false" outlineLevel="0" collapsed="false">
      <c r="B118" s="323"/>
      <c r="C118" s="323"/>
      <c r="D118" s="350" t="s">
        <v>977</v>
      </c>
      <c r="E118" s="348" t="n">
        <v>16</v>
      </c>
      <c r="F118" s="348" t="n">
        <v>1</v>
      </c>
      <c r="G118" s="348" t="n">
        <f aca="false">E118*F118</f>
        <v>16</v>
      </c>
      <c r="H118" s="344"/>
      <c r="I118" s="345"/>
    </row>
    <row r="119" customFormat="false" ht="13.8" hidden="false" customHeight="false" outlineLevel="0" collapsed="false">
      <c r="B119" s="323"/>
      <c r="C119" s="323"/>
      <c r="D119" s="350"/>
      <c r="E119" s="348"/>
      <c r="F119" s="348"/>
      <c r="G119" s="348"/>
      <c r="H119" s="344"/>
      <c r="I119" s="345"/>
    </row>
    <row r="120" customFormat="false" ht="13.8" hidden="false" customHeight="false" outlineLevel="0" collapsed="false">
      <c r="A120" s="286" t="s">
        <v>738</v>
      </c>
      <c r="B120" s="337" t="s">
        <v>978</v>
      </c>
      <c r="C120" s="337" t="str">
        <f aca="false">+VLOOKUP($A120,BASEdades!$A$3:$AA$283,3,FALSE())</f>
        <v>m</v>
      </c>
      <c r="D120" s="367" t="str">
        <f aca="false">+VLOOKUP($A120,BASEdades!$A$3:$AA$298,2,FALSE())</f>
        <v>Porta metàl·lica de xapa d'acer</v>
      </c>
      <c r="E120" s="338"/>
      <c r="F120" s="338"/>
      <c r="G120" s="339" t="n">
        <f aca="false">SUM(G124)</f>
        <v>1</v>
      </c>
      <c r="H120" s="340" t="n">
        <f aca="false">+VLOOKUP($A120,BASEdades!$A$3:$AA$283,7,FALSE())</f>
        <v>132.56</v>
      </c>
      <c r="I120" s="340" t="n">
        <f aca="false">G120*H120</f>
        <v>132.56</v>
      </c>
    </row>
    <row r="121" customFormat="false" ht="77.25" hidden="false" customHeight="true" outlineLevel="0" collapsed="false">
      <c r="A121" s="329"/>
      <c r="B121" s="368"/>
      <c r="C121" s="368"/>
      <c r="D121" s="353" t="str">
        <f aca="false">+VLOOKUP($A120,BASEdades!$A$3:$AA$283,4,FALSE())</f>
        <v>Porta d'acer galvanitzat en forma recta, de 90 cm d'altura, formada per: bastidor compost de barana superior i inferior de platina de perfil massís d'acer laminat en calent de 60x6 mm i i plafons de xapa metàl·lica perforada (igual o similar a la de la tanca metàl·lica existent). 
</v>
      </c>
      <c r="E121" s="341"/>
      <c r="F121" s="341"/>
      <c r="G121" s="369"/>
      <c r="H121" s="344"/>
      <c r="I121" s="370"/>
    </row>
    <row r="122" customFormat="false" ht="14.9" hidden="false" customHeight="false" outlineLevel="0" collapsed="false">
      <c r="A122" s="329"/>
      <c r="B122" s="368"/>
      <c r="C122" s="368"/>
      <c r="D122" s="341" t="str">
        <f aca="false">+VLOOKUP($A120,BASEdades!$A$3:$AA$283,5,FALSE())</f>
        <v>.mides: m</v>
      </c>
      <c r="E122" s="341"/>
      <c r="F122" s="341"/>
      <c r="G122" s="369"/>
      <c r="H122" s="344"/>
      <c r="I122" s="370"/>
    </row>
    <row r="123" customFormat="false" ht="14.9" hidden="false" customHeight="false" outlineLevel="0" collapsed="false">
      <c r="A123" s="329"/>
      <c r="B123" s="368"/>
      <c r="C123" s="368"/>
      <c r="D123" s="341" t="str">
        <f aca="false">+VLOOKUP($A120,BASEdades!$A$3:$AA$283,6,FALSE())</f>
        <v>.</v>
      </c>
      <c r="E123" s="348"/>
      <c r="F123" s="371"/>
      <c r="G123" s="348"/>
      <c r="H123" s="344"/>
      <c r="I123" s="370"/>
    </row>
    <row r="124" customFormat="false" ht="13.8" hidden="false" customHeight="false" outlineLevel="0" collapsed="false">
      <c r="B124" s="323"/>
      <c r="C124" s="323"/>
      <c r="D124" s="350" t="s">
        <v>979</v>
      </c>
      <c r="E124" s="348"/>
      <c r="F124" s="348"/>
      <c r="G124" s="348" t="n">
        <v>1</v>
      </c>
      <c r="H124" s="344"/>
      <c r="I124" s="345"/>
    </row>
    <row r="125" customFormat="false" ht="13.8" hidden="false" customHeight="false" outlineLevel="0" collapsed="false">
      <c r="A125" s="354"/>
      <c r="B125" s="323"/>
      <c r="C125" s="323"/>
      <c r="D125" s="350"/>
      <c r="E125" s="348"/>
      <c r="F125" s="348"/>
      <c r="G125" s="348"/>
      <c r="H125" s="349"/>
    </row>
    <row r="126" customFormat="false" ht="13.8" hidden="false" customHeight="false" outlineLevel="0" collapsed="false">
      <c r="A126" s="286" t="s">
        <v>717</v>
      </c>
      <c r="B126" s="337" t="s">
        <v>978</v>
      </c>
      <c r="C126" s="337" t="str">
        <f aca="false">+VLOOKUP($A126,BASEdades!$A$3:$AA$283,3,FALSE())</f>
        <v>m</v>
      </c>
      <c r="D126" s="367" t="str">
        <f aca="false">+VLOOKUP($A126,BASEdades!$A$3:$AA$298,2,FALSE())</f>
        <v>Mòdul de tanca metàl·lica de perfils buits</v>
      </c>
      <c r="E126" s="338"/>
      <c r="F126" s="338"/>
      <c r="G126" s="339" t="n">
        <f aca="false">SUM(G130)</f>
        <v>3.45</v>
      </c>
      <c r="H126" s="340" t="n">
        <f aca="false">+VLOOKUP($A126,BASEdades!$A$3:$AA$283,7,FALSE())</f>
        <v>316.51</v>
      </c>
      <c r="I126" s="340" t="n">
        <f aca="false">G126*H126</f>
        <v>1091.9595</v>
      </c>
    </row>
    <row r="127" customFormat="false" ht="108" hidden="false" customHeight="true" outlineLevel="0" collapsed="false">
      <c r="A127" s="329"/>
      <c r="B127" s="368"/>
      <c r="C127" s="368"/>
      <c r="D127" s="353" t="str">
        <f aca="false">+VLOOKUP($A126,BASEdades!$A$3:$AA$283,4,FALSE())</f>
        <v>Mòdul de clos metàl·lic,  format per perfils buits de secció circular, d'acer galvanitzat (Z 275), acabat lacat en color a definir per DF de 2 mm d'espessor, 60 mm de diàmetre i 2400 mm d'altura, amb una separació màxima de 80 mm entre els perfils, amb una pletina  metàl·lica horitzontal superior de 80x8mm i inferior de 100x8, fixada als perfils mitjançant soldadura. Peus d'anclatge de pletines fixats amb varil·les metàl·liques a solera de formigó existent. </v>
      </c>
      <c r="E127" s="341"/>
      <c r="F127" s="341"/>
      <c r="G127" s="369"/>
      <c r="H127" s="344"/>
      <c r="I127" s="370"/>
    </row>
    <row r="128" customFormat="false" ht="14.9" hidden="false" customHeight="false" outlineLevel="0" collapsed="false">
      <c r="A128" s="329"/>
      <c r="B128" s="368"/>
      <c r="C128" s="368"/>
      <c r="D128" s="341" t="str">
        <f aca="false">+VLOOKUP($A126,BASEdades!$A$3:$AA$283,5,FALSE())</f>
        <v>.mides: m</v>
      </c>
      <c r="E128" s="341"/>
      <c r="F128" s="341"/>
      <c r="G128" s="369"/>
      <c r="H128" s="344"/>
      <c r="I128" s="370"/>
    </row>
    <row r="129" customFormat="false" ht="14.9" hidden="false" customHeight="false" outlineLevel="0" collapsed="false">
      <c r="A129" s="329"/>
      <c r="B129" s="368"/>
      <c r="C129" s="368"/>
      <c r="D129" s="341" t="str">
        <f aca="false">+VLOOKUP($A126,BASEdades!$A$3:$AA$283,6,FALSE())</f>
        <v>.</v>
      </c>
      <c r="E129" s="348"/>
      <c r="F129" s="371"/>
      <c r="G129" s="348"/>
      <c r="H129" s="344"/>
      <c r="I129" s="370"/>
    </row>
    <row r="130" customFormat="false" ht="13.8" hidden="false" customHeight="false" outlineLevel="0" collapsed="false">
      <c r="B130" s="323"/>
      <c r="C130" s="323"/>
      <c r="D130" s="350" t="s">
        <v>980</v>
      </c>
      <c r="E130" s="348" t="n">
        <v>3.45</v>
      </c>
      <c r="F130" s="348" t="n">
        <v>1</v>
      </c>
      <c r="G130" s="348" t="n">
        <f aca="false">E130*F130</f>
        <v>3.45</v>
      </c>
      <c r="H130" s="344"/>
      <c r="I130" s="345"/>
    </row>
    <row r="131" customFormat="false" ht="13.8" hidden="false" customHeight="false" outlineLevel="0" collapsed="false">
      <c r="A131" s="277"/>
      <c r="B131" s="355"/>
      <c r="C131" s="355"/>
      <c r="D131" s="351"/>
      <c r="E131" s="352"/>
      <c r="F131" s="352"/>
      <c r="G131" s="352"/>
      <c r="H131" s="359"/>
      <c r="I131" s="360"/>
    </row>
    <row r="132" s="398" customFormat="true" ht="13.8" hidden="false" customHeight="false" outlineLevel="0" collapsed="false">
      <c r="A132" s="398" t="s">
        <v>720</v>
      </c>
      <c r="B132" s="399" t="s">
        <v>981</v>
      </c>
      <c r="C132" s="399" t="str">
        <f aca="false">+VLOOKUP($A132,BASEdades!$A$3:$AA$283,3,FALSE())</f>
        <v>ut</v>
      </c>
      <c r="D132" s="400" t="str">
        <f aca="false">+VLOOKUP($A132,BASEdades!$A$3:$AA$298,2,FALSE())</f>
        <v>Porta metàl·lica de perfils buits</v>
      </c>
      <c r="E132" s="401"/>
      <c r="F132" s="401"/>
      <c r="G132" s="402" t="n">
        <f aca="false">SUM(G136)</f>
        <v>2</v>
      </c>
      <c r="H132" s="340" t="n">
        <f aca="false">+VLOOKUP($A132,BASEdades!$A$3:$AA$283,7,FALSE())</f>
        <v>682.82</v>
      </c>
      <c r="I132" s="340" t="n">
        <f aca="false">G132*H132</f>
        <v>1365.64</v>
      </c>
      <c r="M132" s="0"/>
    </row>
    <row r="133" customFormat="false" ht="149.25" hidden="false" customHeight="false" outlineLevel="0" collapsed="false">
      <c r="A133" s="329"/>
      <c r="B133" s="368"/>
      <c r="C133" s="368"/>
      <c r="D133" s="353" t="str">
        <f aca="false">+VLOOKUP($A132,BASEdades!$A$3:$AA$283,4,FALSE())</f>
        <v>Porta de clos metàl·lic de fulla batent de dimensions 95x240cm, format per perfils buits de secció circular, d'acer galvanitzat (Z 275), acabat lacat en color a definir per DF de 2 mm d'espessor, 60 mm de diàmetre i 2400 mm d'altura, amb una separació màxima de 80 mm entre els perfils, amb una pletina  metàl·lica horitzontal superior de 80x8mm i inferior de 100x8, fixada als perfils mitjançant soldadura. Obertura manual. Muntants laterals de pletina en "U" d'acer galvanitzat de 100x100x8mm asseguts amb formigó HM-25/B/20/X0, armadura portant de la cancel·la i rebuts a obra, elements d'ancoratge, ferramentes de seguretat i tancament, acabat amb emprimació antioxidant i accessoris.</v>
      </c>
      <c r="E133" s="342"/>
      <c r="F133" s="342"/>
      <c r="G133" s="343"/>
      <c r="H133" s="344"/>
      <c r="I133" s="345"/>
    </row>
    <row r="134" customFormat="false" ht="14.9" hidden="false" customHeight="false" outlineLevel="0" collapsed="false">
      <c r="A134" s="329"/>
      <c r="B134" s="368"/>
      <c r="C134" s="368"/>
      <c r="D134" s="341" t="str">
        <f aca="false">+VLOOKUP($A132,BASEdades!$A$3:$AA$283,5,FALSE())</f>
        <v>.mides: m</v>
      </c>
      <c r="E134" s="342"/>
      <c r="F134" s="342"/>
      <c r="G134" s="343"/>
      <c r="H134" s="344"/>
      <c r="I134" s="345"/>
    </row>
    <row r="135" customFormat="false" ht="14.9" hidden="false" customHeight="false" outlineLevel="0" collapsed="false">
      <c r="A135" s="329"/>
      <c r="B135" s="368"/>
      <c r="C135" s="368"/>
      <c r="D135" s="341" t="str">
        <f aca="false">+VLOOKUP($A132,BASEdades!$A$3:$AA$283,6,FALSE())</f>
        <v>.</v>
      </c>
      <c r="E135" s="347"/>
      <c r="F135" s="347"/>
      <c r="G135" s="348"/>
      <c r="H135" s="349"/>
    </row>
    <row r="136" customFormat="false" ht="13.8" hidden="false" customHeight="false" outlineLevel="0" collapsed="false">
      <c r="B136" s="323"/>
      <c r="C136" s="323"/>
      <c r="D136" s="350" t="s">
        <v>980</v>
      </c>
      <c r="E136" s="348" t="n">
        <v>2</v>
      </c>
      <c r="F136" s="348" t="n">
        <v>1</v>
      </c>
      <c r="G136" s="348" t="n">
        <f aca="false">E136*F136</f>
        <v>2</v>
      </c>
      <c r="H136" s="344"/>
      <c r="I136" s="345"/>
    </row>
    <row r="137" customFormat="false" ht="13.8" hidden="false" customHeight="false" outlineLevel="0" collapsed="false">
      <c r="A137" s="277"/>
      <c r="B137" s="355"/>
      <c r="C137" s="355"/>
      <c r="D137" s="351"/>
      <c r="E137" s="352"/>
      <c r="F137" s="352"/>
      <c r="G137" s="352"/>
      <c r="H137" s="359"/>
      <c r="I137" s="360"/>
    </row>
    <row r="138" customFormat="false" ht="13.8" hidden="false" customHeight="false" outlineLevel="0" collapsed="false">
      <c r="A138" s="286" t="s">
        <v>158</v>
      </c>
      <c r="B138" s="337" t="s">
        <v>982</v>
      </c>
      <c r="C138" s="337" t="str">
        <f aca="false">+VLOOKUP($A138,BASEdades!$A$3:$AA$283,3,FALSE())</f>
        <v>ut</v>
      </c>
      <c r="D138" s="338" t="str">
        <f aca="false">+VLOOKUP($A138,BASEdades!$A$3:$AA$283,2,FALSE())</f>
        <v>Instal·lació elèctrica </v>
      </c>
      <c r="E138" s="338"/>
      <c r="F138" s="338"/>
      <c r="G138" s="339" t="n">
        <f aca="false">SUM(G140:G141)</f>
        <v>1</v>
      </c>
      <c r="H138" s="340" t="n">
        <f aca="false">+VLOOKUP($A138,BASEdades!$A$3:$AA$283,7,FALSE())</f>
        <v>923.85</v>
      </c>
      <c r="I138" s="340" t="n">
        <f aca="false">G138*H138</f>
        <v>923.85</v>
      </c>
    </row>
    <row r="139" customFormat="false" ht="122.35" hidden="false" customHeight="false" outlineLevel="0" collapsed="false">
      <c r="A139" s="329"/>
      <c r="B139" s="323"/>
      <c r="C139" s="323"/>
      <c r="D139" s="341" t="str">
        <f aca="false">+VLOOKUP($A138,BASEdades!$A$3:$AA$283,4,FALSE())</f>
        <v>Conjunt de treballs per al subministre, colocació i connexió de nou punt de llum al magatzem de cotxets, i preparació de connexió del porter electrònic.
Inclou aplic de paret tortuga per a exterior amb reixeta metàl·lica. Potència màxima 60W per a bombeta E27 (2 unitats) i sensor de presència.
Tota la instalació completa, amb tots els elements necessaris per al seu funcionament.
Inclou realització d'ajudes de paleteria de qualsevol tipus.</v>
      </c>
      <c r="E139" s="342"/>
      <c r="F139" s="342"/>
      <c r="G139" s="343"/>
      <c r="H139" s="344"/>
      <c r="I139" s="345"/>
    </row>
    <row r="140" customFormat="false" ht="13.8" hidden="false" customHeight="false" outlineLevel="0" collapsed="false">
      <c r="B140" s="323"/>
      <c r="C140" s="323"/>
      <c r="D140" s="346" t="str">
        <f aca="false">+VLOOKUP($A138,BASEdades!$A$3:$AA$283,5,FALSE())</f>
        <v>.</v>
      </c>
      <c r="E140" s="347"/>
      <c r="F140" s="347"/>
      <c r="G140" s="348"/>
      <c r="H140" s="349"/>
    </row>
    <row r="141" customFormat="false" ht="13.8" hidden="false" customHeight="false" outlineLevel="0" collapsed="false">
      <c r="A141" s="329"/>
      <c r="B141" s="323"/>
      <c r="C141" s="323"/>
      <c r="D141" s="350" t="s">
        <v>983</v>
      </c>
      <c r="E141" s="347"/>
      <c r="F141" s="347"/>
      <c r="G141" s="348" t="n">
        <v>1</v>
      </c>
      <c r="H141" s="344"/>
      <c r="I141" s="345"/>
    </row>
    <row r="142" customFormat="false" ht="13.8" hidden="false" customHeight="false" outlineLevel="0" collapsed="false">
      <c r="B142" s="323"/>
      <c r="C142" s="323"/>
      <c r="D142" s="350"/>
      <c r="E142" s="348"/>
      <c r="F142" s="348"/>
      <c r="G142" s="348"/>
      <c r="H142" s="344"/>
      <c r="I142" s="345"/>
    </row>
    <row r="143" customFormat="false" ht="13.8" hidden="false" customHeight="false" outlineLevel="0" collapsed="false">
      <c r="A143" s="286" t="s">
        <v>161</v>
      </c>
      <c r="B143" s="337" t="s">
        <v>984</v>
      </c>
      <c r="C143" s="337" t="str">
        <f aca="false">+VLOOKUP($A143,BASEdades!$A$3:$AA$283,3,FALSE())</f>
        <v>ut</v>
      </c>
      <c r="D143" s="338" t="str">
        <f aca="false">+VLOOKUP($A143,BASEdades!$A$3:$AA$283,2,FALSE())</f>
        <v>Porter electrònic</v>
      </c>
      <c r="E143" s="338"/>
      <c r="F143" s="338"/>
      <c r="G143" s="339" t="n">
        <f aca="false">SUM(G145:G146)</f>
        <v>1</v>
      </c>
      <c r="H143" s="340" t="n">
        <f aca="false">+VLOOKUP($A143,BASEdades!$A$3:$AA$283,7,FALSE())</f>
        <v>367.62</v>
      </c>
      <c r="I143" s="340" t="n">
        <f aca="false">G143*H143</f>
        <v>367.62</v>
      </c>
    </row>
    <row r="144" customFormat="false" ht="75.75" hidden="false" customHeight="true" outlineLevel="0" collapsed="false">
      <c r="A144" s="329"/>
      <c r="B144" s="323"/>
      <c r="C144" s="323"/>
      <c r="D144" s="353" t="str">
        <f aca="false">+VLOOKUP($A143,BASEdades!$A$3:$AA$283,4,FALSE())</f>
        <v>Instal·lació i posta en servei d'equip de porter electrònic antivandàlic compost de: placa exterior del carrer antivandàlica amb polsador de trucada, font d'alimentació i telèfon. Inclús, obreportes, visera, cablejat i caixes.
</v>
      </c>
      <c r="E144" s="342"/>
      <c r="F144" s="342"/>
      <c r="G144" s="343"/>
      <c r="H144" s="344"/>
      <c r="I144" s="345"/>
    </row>
    <row r="145" customFormat="false" ht="13.8" hidden="false" customHeight="false" outlineLevel="0" collapsed="false">
      <c r="B145" s="323"/>
      <c r="C145" s="323"/>
      <c r="D145" s="346" t="str">
        <f aca="false">+VLOOKUP($A143,BASEdades!$A$3:$AA$283,5,FALSE())</f>
        <v>.</v>
      </c>
      <c r="E145" s="347"/>
      <c r="F145" s="347"/>
      <c r="G145" s="348"/>
      <c r="H145" s="349"/>
    </row>
    <row r="146" customFormat="false" ht="13.8" hidden="false" customHeight="false" outlineLevel="0" collapsed="false">
      <c r="A146" s="329"/>
      <c r="B146" s="323"/>
      <c r="C146" s="323"/>
      <c r="D146" s="350" t="s">
        <v>985</v>
      </c>
      <c r="E146" s="347"/>
      <c r="F146" s="347"/>
      <c r="G146" s="348" t="n">
        <v>1</v>
      </c>
      <c r="H146" s="344"/>
      <c r="I146" s="345"/>
    </row>
    <row r="147" customFormat="false" ht="13.8" hidden="false" customHeight="false" outlineLevel="0" collapsed="false">
      <c r="A147" s="329"/>
      <c r="B147" s="323"/>
      <c r="C147" s="323"/>
      <c r="D147" s="350"/>
      <c r="E147" s="347"/>
      <c r="F147" s="347"/>
      <c r="G147" s="348"/>
      <c r="H147" s="344"/>
      <c r="I147" s="345"/>
    </row>
  </sheetData>
  <printOptions headings="false" gridLines="false" gridLinesSet="true" horizontalCentered="false" verticalCentered="false"/>
  <pageMargins left="0.708333333333333" right="0.196527777777778" top="0.708333333333333" bottom="1.10208333333333" header="0.511811023622047" footer="0.39375"/>
  <pageSetup paperSize="9" scale="100" fitToWidth="1" fitToHeight="0" pageOrder="overThenDown" orientation="portrait" blackAndWhite="false" draft="false" cellComments="none" horizontalDpi="300" verticalDpi="300" copies="1"/>
  <headerFooter differentFirst="false" differentOddEven="false">
    <oddHeader/>
    <oddFooter>&amp;L&amp;"Swis721 Lt BT,Clar"&amp;8VALORACIÓ ECONÒMICA - ESCOLA BRESSOL MUNICIPAL ROCAFONDA&amp;C&amp;"Swis721 Lt BT,Clar"&amp;9&amp;Kdedede  ACCÉS</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707"/>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B4" activeCellId="0" sqref="B4"/>
    </sheetView>
  </sheetViews>
  <sheetFormatPr defaultColWidth="11.42578125" defaultRowHeight="13.8" customHeight="true" zeroHeight="false" outlineLevelRow="0" outlineLevelCol="0"/>
  <cols>
    <col collapsed="false" customWidth="true" hidden="true" outlineLevel="0" max="1" min="1" style="286" width="20.57"/>
    <col collapsed="false" customWidth="true" hidden="false" outlineLevel="0" max="2" min="2" style="286" width="5.42"/>
    <col collapsed="false" customWidth="true" hidden="false" outlineLevel="0" max="3" min="3" style="286" width="5.86"/>
    <col collapsed="false" customWidth="true" hidden="false" outlineLevel="0" max="4" min="4" style="387" width="49"/>
    <col collapsed="false" customWidth="true" hidden="false" outlineLevel="0" max="7" min="5" style="286" width="7.57"/>
    <col collapsed="false" customWidth="true" hidden="false" outlineLevel="0" max="8" min="8" style="304" width="12.86"/>
    <col collapsed="false" customWidth="true" hidden="true" outlineLevel="0" max="9" min="9" style="304" width="21.57"/>
    <col collapsed="false" customWidth="true" hidden="false" outlineLevel="0" max="10" min="10" style="286" width="17.15"/>
    <col collapsed="false" customWidth="true" hidden="false" outlineLevel="0" max="11" min="11" style="286" width="35.57"/>
    <col collapsed="false" customWidth="true" hidden="false" outlineLevel="0" max="12" min="12" style="286" width="3.57"/>
    <col collapsed="false" customWidth="false" hidden="false" outlineLevel="0" max="16383" min="15" style="286" width="11.43"/>
    <col collapsed="false" customWidth="true" hidden="false" outlineLevel="0" max="16384" min="16384" style="286" width="11.53"/>
  </cols>
  <sheetData>
    <row r="1" s="287" customFormat="true" ht="13.8" hidden="false" customHeight="false" outlineLevel="0" collapsed="false">
      <c r="A1" s="280"/>
      <c r="B1" s="281" t="str">
        <f aca="false">PORTADA_PTO!A17</f>
        <v>VALORACIÓ ECONÒMICA</v>
      </c>
      <c r="C1" s="282"/>
      <c r="D1" s="283"/>
      <c r="E1" s="282"/>
      <c r="F1" s="282"/>
      <c r="G1" s="282"/>
      <c r="H1" s="284"/>
      <c r="I1" s="285"/>
      <c r="J1" s="286"/>
      <c r="K1" s="286"/>
      <c r="M1" s="0"/>
      <c r="N1" s="0"/>
    </row>
    <row r="2" s="287" customFormat="true" ht="13.8" hidden="false" customHeight="false" outlineLevel="0" collapsed="false">
      <c r="A2" s="280"/>
      <c r="B2" s="288" t="str">
        <f aca="false">PORTADA_PTO!A18</f>
        <v>TRANSFORMACIÓ DELS ESPAIS EXTERIORS DE L’ESCOLA BRESSOL MUNICIPAL DE ROCAFONDA</v>
      </c>
      <c r="C2" s="289"/>
      <c r="D2" s="290"/>
      <c r="E2" s="289"/>
      <c r="F2" s="289"/>
      <c r="G2" s="289"/>
      <c r="H2" s="291"/>
      <c r="I2" s="292"/>
      <c r="J2" s="286"/>
      <c r="K2" s="286"/>
      <c r="M2" s="0"/>
      <c r="N2" s="0"/>
    </row>
    <row r="3" s="287" customFormat="true" ht="13.8" hidden="false" customHeight="false" outlineLevel="0" collapsed="false">
      <c r="A3" s="280"/>
      <c r="B3" s="293" t="str">
        <f aca="false">PORTADA_PTO!E14</f>
        <v>MATARÓ</v>
      </c>
      <c r="C3" s="289"/>
      <c r="D3" s="290"/>
      <c r="E3" s="289"/>
      <c r="F3" s="289"/>
      <c r="G3" s="289"/>
      <c r="H3" s="291"/>
      <c r="I3" s="292"/>
      <c r="J3" s="286"/>
      <c r="K3" s="286"/>
      <c r="M3" s="0"/>
      <c r="N3" s="0"/>
    </row>
    <row r="4" s="287" customFormat="true" ht="13.8" hidden="false" customHeight="false" outlineLevel="0" collapsed="false">
      <c r="A4" s="280"/>
      <c r="B4" s="294"/>
      <c r="C4" s="295"/>
      <c r="D4" s="295"/>
      <c r="E4" s="295"/>
      <c r="F4" s="295"/>
      <c r="G4" s="295"/>
      <c r="H4" s="295"/>
      <c r="J4" s="286"/>
      <c r="K4" s="286"/>
      <c r="M4" s="0"/>
      <c r="N4" s="0"/>
    </row>
    <row r="5" s="287" customFormat="true" ht="13.8" hidden="false" customHeight="false" outlineLevel="0" collapsed="false">
      <c r="A5" s="280"/>
      <c r="B5" s="299"/>
      <c r="C5" s="300"/>
      <c r="D5" s="301"/>
      <c r="E5" s="300"/>
      <c r="F5" s="300"/>
      <c r="G5" s="300"/>
      <c r="H5" s="303"/>
      <c r="I5" s="304"/>
      <c r="J5" s="286"/>
      <c r="K5" s="286"/>
      <c r="M5" s="0"/>
      <c r="N5" s="0"/>
    </row>
    <row r="6" s="287" customFormat="true" ht="13.8" hidden="false" customHeight="false" outlineLevel="0" collapsed="false">
      <c r="A6" s="280"/>
      <c r="B6" s="388"/>
      <c r="C6" s="389"/>
      <c r="D6" s="390"/>
      <c r="E6" s="389"/>
      <c r="F6" s="389"/>
      <c r="G6" s="389"/>
      <c r="H6" s="392"/>
      <c r="I6" s="393"/>
      <c r="M6" s="0"/>
      <c r="N6" s="0"/>
    </row>
    <row r="7" s="287" customFormat="true" ht="17.35" hidden="false" customHeight="false" outlineLevel="0" collapsed="false">
      <c r="A7" s="396"/>
      <c r="B7" s="305" t="s">
        <v>831</v>
      </c>
      <c r="C7" s="306"/>
      <c r="D7" s="307"/>
      <c r="E7" s="306"/>
      <c r="F7" s="306"/>
      <c r="G7" s="306"/>
      <c r="H7" s="309"/>
      <c r="I7" s="310" t="e">
        <f aca="false">SUM(I11:I617)/2</f>
        <v>#REF!</v>
      </c>
      <c r="M7" s="0"/>
      <c r="N7" s="0"/>
    </row>
    <row r="8" s="287" customFormat="true" ht="13.8" hidden="false" customHeight="false" outlineLevel="0" collapsed="false">
      <c r="A8" s="396"/>
      <c r="B8" s="311"/>
      <c r="C8" s="300"/>
      <c r="D8" s="301"/>
      <c r="E8" s="300"/>
      <c r="F8" s="300"/>
      <c r="G8" s="300"/>
      <c r="H8" s="303"/>
      <c r="I8" s="304"/>
      <c r="J8" s="286"/>
      <c r="K8" s="286"/>
      <c r="M8" s="0"/>
      <c r="N8" s="0"/>
    </row>
    <row r="9" customFormat="false" ht="13.8" hidden="false" customHeight="false" outlineLevel="0" collapsed="false">
      <c r="A9" s="397" t="s">
        <v>832</v>
      </c>
      <c r="B9" s="314"/>
      <c r="C9" s="315" t="s">
        <v>834</v>
      </c>
      <c r="D9" s="316" t="s">
        <v>835</v>
      </c>
      <c r="E9" s="317"/>
      <c r="F9" s="317"/>
      <c r="G9" s="317"/>
      <c r="H9" s="319" t="s">
        <v>837</v>
      </c>
      <c r="I9" s="320" t="s">
        <v>838</v>
      </c>
      <c r="J9" s="394"/>
      <c r="K9" s="321"/>
    </row>
    <row r="10" customFormat="false" ht="13.8" hidden="false" customHeight="false" outlineLevel="0" collapsed="false">
      <c r="A10" s="397"/>
      <c r="B10" s="322"/>
      <c r="C10" s="323"/>
      <c r="D10" s="324"/>
      <c r="E10" s="325"/>
      <c r="F10" s="325"/>
      <c r="G10" s="325"/>
      <c r="H10" s="327"/>
      <c r="I10" s="328"/>
      <c r="J10" s="394"/>
      <c r="K10" s="321"/>
    </row>
    <row r="11" customFormat="false" ht="13.8" hidden="false" customHeight="false" outlineLevel="0" collapsed="false">
      <c r="A11" s="277" t="s">
        <v>168</v>
      </c>
      <c r="B11" s="337"/>
      <c r="C11" s="337" t="str">
        <f aca="false">+VLOOKUP($A11,BASEdades!$A$3:$AA$283,3,FALSE())</f>
        <v>m</v>
      </c>
      <c r="D11" s="338" t="str">
        <f aca="false">+VLOOKUP($A11,BASEdades!$A$3:$AA$283,2,FALSE())</f>
        <v>Retirada de tanca metàl·lica existent</v>
      </c>
      <c r="E11" s="338"/>
      <c r="F11" s="338"/>
      <c r="G11" s="338"/>
      <c r="H11" s="340" t="n">
        <f aca="false">+VLOOKUP($A11,BASEdades!$A$3:$AA$283,7,FALSE())</f>
        <v>20</v>
      </c>
      <c r="I11" s="340" t="e">
        <f aca="false">#REF!*H11</f>
        <v>#REF!</v>
      </c>
    </row>
    <row r="12" customFormat="false" ht="41.75" hidden="false" customHeight="false" outlineLevel="0" collapsed="false">
      <c r="A12" s="354"/>
      <c r="B12" s="323"/>
      <c r="C12" s="323"/>
      <c r="D12" s="341" t="str">
        <f aca="false">+VLOOKUP($A11,BASEdades!$A$3:$AA$283,4,FALSE())</f>
        <v>Retirada de reixat metàl·lic de fins a 2 m d'alçària, com a màxim, sense enderroc de daus de formigó, a mà i càrrega manual i mecànica de runa sobre camió o contenidor</v>
      </c>
      <c r="E12" s="342"/>
      <c r="F12" s="342"/>
      <c r="G12" s="342"/>
      <c r="H12" s="344"/>
      <c r="I12" s="345"/>
    </row>
    <row r="13" customFormat="false" ht="13.8" hidden="false" customHeight="false" outlineLevel="0" collapsed="false">
      <c r="A13" s="354"/>
      <c r="B13" s="323"/>
      <c r="C13" s="323"/>
      <c r="D13" s="346" t="str">
        <f aca="false">+VLOOKUP($A11,BASEdades!$A$3:$AA$283,5,FALSE())</f>
        <v>.Mides de la tanca: mòduls 1.5m x 1m </v>
      </c>
      <c r="E13" s="347"/>
      <c r="F13" s="347"/>
      <c r="G13" s="347"/>
      <c r="H13" s="349"/>
    </row>
    <row r="14" customFormat="false" ht="13.8" hidden="true" customHeight="false" outlineLevel="0" collapsed="false">
      <c r="A14" s="329"/>
      <c r="B14" s="323"/>
      <c r="C14" s="323"/>
      <c r="D14" s="286" t="s">
        <v>986</v>
      </c>
      <c r="E14" s="378" t="n">
        <f aca="false">+VLOOKUP($D14,PREUS!$B$1:$F$589,3,FALSE())</f>
        <v>25.8</v>
      </c>
      <c r="F14" s="378" t="str">
        <f aca="false">+VLOOKUP($D14,PREUS!$B$1:$F$589,4,FALSE())</f>
        <v>h</v>
      </c>
      <c r="G14" s="403" t="n">
        <v>0.76</v>
      </c>
      <c r="H14" s="404" t="n">
        <f aca="false">E14*G14</f>
        <v>19.608</v>
      </c>
    </row>
    <row r="15" customFormat="false" ht="13.8" hidden="true" customHeight="false" outlineLevel="0" collapsed="false">
      <c r="B15" s="323"/>
      <c r="C15" s="323"/>
      <c r="D15" s="286" t="s">
        <v>987</v>
      </c>
      <c r="E15" s="379" t="n">
        <f aca="false">H14</f>
        <v>19.608</v>
      </c>
      <c r="F15" s="403" t="s">
        <v>988</v>
      </c>
      <c r="G15" s="405" t="n">
        <v>0.02</v>
      </c>
      <c r="H15" s="404" t="n">
        <f aca="false">E15*G15</f>
        <v>0.39216</v>
      </c>
    </row>
    <row r="16" customFormat="false" ht="13.8" hidden="true" customHeight="false" outlineLevel="0" collapsed="false">
      <c r="A16" s="354"/>
      <c r="B16" s="323"/>
      <c r="C16" s="323"/>
      <c r="D16" s="350"/>
      <c r="E16" s="348"/>
      <c r="F16" s="348"/>
      <c r="G16" s="348"/>
      <c r="H16" s="349"/>
    </row>
    <row r="17" customFormat="false" ht="13.8" hidden="false" customHeight="false" outlineLevel="0" collapsed="false">
      <c r="A17" s="354"/>
      <c r="B17" s="323"/>
      <c r="C17" s="323"/>
      <c r="D17" s="350"/>
      <c r="E17" s="348"/>
      <c r="F17" s="348"/>
      <c r="G17" s="348"/>
      <c r="H17" s="349"/>
    </row>
    <row r="18" customFormat="false" ht="13.8" hidden="false" customHeight="false" outlineLevel="0" collapsed="false">
      <c r="A18" s="286" t="s">
        <v>88</v>
      </c>
      <c r="B18" s="337"/>
      <c r="C18" s="337" t="str">
        <f aca="false">+VLOOKUP($A18,BASEdades!$A$3:$AA$283,3,FALSE())</f>
        <v>h</v>
      </c>
      <c r="D18" s="338" t="str">
        <f aca="false">+VLOOKUP($A18,BASEdades!$A$3:$AA$283,2,FALSE())</f>
        <v>Ajudes de paleta</v>
      </c>
      <c r="E18" s="338"/>
      <c r="F18" s="338"/>
      <c r="G18" s="338"/>
      <c r="H18" s="340" t="n">
        <f aca="false">+VLOOKUP($A18,BASEdades!$A$3:$AA$283,7,FALSE())</f>
        <v>57.72</v>
      </c>
      <c r="I18" s="340" t="e">
        <f aca="false">#REF!*H18</f>
        <v>#REF!</v>
      </c>
    </row>
    <row r="19" customFormat="false" ht="14.9" hidden="false" customHeight="false" outlineLevel="0" collapsed="false">
      <c r="A19" s="329"/>
      <c r="B19" s="323"/>
      <c r="C19" s="323"/>
      <c r="D19" s="341" t="str">
        <f aca="false">+VLOOKUP($A18,BASEdades!$A$3:$AA$283,4,FALSE())</f>
        <v>Jornada d'ajudes de paleta. Oficial i peò.</v>
      </c>
      <c r="E19" s="342"/>
      <c r="F19" s="342"/>
      <c r="G19" s="342"/>
      <c r="H19" s="344"/>
      <c r="I19" s="345"/>
    </row>
    <row r="20" customFormat="false" ht="13.8" hidden="false" customHeight="false" outlineLevel="0" collapsed="false">
      <c r="A20" s="329"/>
      <c r="B20" s="323"/>
      <c r="C20" s="323"/>
      <c r="D20" s="346" t="str">
        <f aca="false">+VLOOKUP($A18,BASEdades!$A$3:$AA$283,5,FALSE())</f>
        <v>.</v>
      </c>
      <c r="E20" s="347"/>
      <c r="F20" s="347"/>
      <c r="G20" s="347"/>
      <c r="H20" s="349"/>
    </row>
    <row r="21" customFormat="false" ht="13.8" hidden="true" customHeight="false" outlineLevel="0" collapsed="false">
      <c r="A21" s="329"/>
      <c r="B21" s="323"/>
      <c r="C21" s="323"/>
      <c r="D21" s="286" t="s">
        <v>989</v>
      </c>
      <c r="E21" s="378" t="n">
        <f aca="false">+VLOOKUP($D21,PREUS!$B$1:$F$589,3,FALSE())</f>
        <v>30.79</v>
      </c>
      <c r="F21" s="378" t="str">
        <f aca="false">+VLOOKUP($D21,PREUS!$B$1:$F$589,4,FALSE())</f>
        <v>h</v>
      </c>
      <c r="G21" s="406" t="n">
        <v>1</v>
      </c>
      <c r="H21" s="404" t="n">
        <f aca="false">E21*G21</f>
        <v>30.79</v>
      </c>
    </row>
    <row r="22" customFormat="false" ht="13.8" hidden="true" customHeight="false" outlineLevel="0" collapsed="false">
      <c r="A22" s="329"/>
      <c r="B22" s="323"/>
      <c r="C22" s="323"/>
      <c r="D22" s="286" t="s">
        <v>986</v>
      </c>
      <c r="E22" s="378" t="n">
        <f aca="false">+VLOOKUP($D22,PREUS!$B$1:$F$589,3,FALSE())</f>
        <v>25.8</v>
      </c>
      <c r="F22" s="378" t="str">
        <f aca="false">+VLOOKUP($D22,PREUS!$B$1:$F$589,4,FALSE())</f>
        <v>h</v>
      </c>
      <c r="G22" s="406" t="n">
        <v>1</v>
      </c>
      <c r="H22" s="404" t="n">
        <f aca="false">E22*G22</f>
        <v>25.8</v>
      </c>
    </row>
    <row r="23" customFormat="false" ht="13.8" hidden="true" customHeight="false" outlineLevel="0" collapsed="false">
      <c r="B23" s="323"/>
      <c r="C23" s="323"/>
      <c r="D23" s="286" t="s">
        <v>987</v>
      </c>
      <c r="E23" s="379" t="n">
        <f aca="false">SUM(H21:H22)</f>
        <v>56.59</v>
      </c>
      <c r="F23" s="403" t="s">
        <v>988</v>
      </c>
      <c r="G23" s="405" t="n">
        <v>0.02</v>
      </c>
      <c r="H23" s="404" t="n">
        <f aca="false">E23*G23</f>
        <v>1.1318</v>
      </c>
    </row>
    <row r="24" customFormat="false" ht="13.8" hidden="false" customHeight="false" outlineLevel="0" collapsed="false">
      <c r="A24" s="329"/>
      <c r="B24" s="323"/>
      <c r="C24" s="323"/>
      <c r="D24" s="350"/>
      <c r="E24" s="348"/>
      <c r="F24" s="348"/>
      <c r="G24" s="348"/>
      <c r="H24" s="349"/>
    </row>
    <row r="25" customFormat="false" ht="13.8" hidden="false" customHeight="false" outlineLevel="0" collapsed="false">
      <c r="A25" s="286" t="s">
        <v>24</v>
      </c>
      <c r="B25" s="337"/>
      <c r="C25" s="337" t="str">
        <f aca="false">+VLOOKUP($A25,BASEdades!$A$3:$AA$283,3,FALSE())</f>
        <v>m</v>
      </c>
      <c r="D25" s="367" t="str">
        <f aca="false">+VLOOKUP($A25,BASEdades!$A$3:$AA$298,2,FALSE())</f>
        <v>Tall de paviment</v>
      </c>
      <c r="E25" s="338"/>
      <c r="F25" s="338"/>
      <c r="G25" s="338"/>
      <c r="H25" s="340" t="n">
        <f aca="false">+VLOOKUP($A25,BASEdades!$A$3:$AA$283,7,FALSE())</f>
        <v>5.7</v>
      </c>
      <c r="I25" s="340" t="e">
        <f aca="false">#REF!*H25</f>
        <v>#REF!</v>
      </c>
    </row>
    <row r="26" customFormat="false" ht="55.2" hidden="false" customHeight="false" outlineLevel="0" collapsed="false">
      <c r="A26" s="329"/>
      <c r="B26" s="368"/>
      <c r="C26" s="368"/>
      <c r="D26" s="353" t="str">
        <f aca="false">+VLOOKUP($A25,BASEdades!$A$3:$AA$283,4,FALSE())</f>
        <v>Execució de tall en paviment de qualsevol tipus, de 10cm de fondària com a mínim, amb màquina tallajunts amb disc de diamant per a paviment, per a delimitar la zona a demolir, i càrrega manual sobre camió o contenidor</v>
      </c>
      <c r="E26" s="341"/>
      <c r="F26" s="341"/>
      <c r="G26" s="341"/>
      <c r="H26" s="344"/>
      <c r="I26" s="370"/>
    </row>
    <row r="27" customFormat="false" ht="14.9" hidden="false" customHeight="false" outlineLevel="0" collapsed="false">
      <c r="A27" s="329"/>
      <c r="B27" s="368"/>
      <c r="C27" s="368"/>
      <c r="D27" s="341" t="str">
        <f aca="false">+VLOOKUP($A25,BASEdades!$A$3:$AA$283,6,FALSE())</f>
        <v>.</v>
      </c>
      <c r="E27" s="348"/>
      <c r="F27" s="348"/>
      <c r="G27" s="348"/>
      <c r="H27" s="344"/>
      <c r="I27" s="370"/>
    </row>
    <row r="28" customFormat="false" ht="13.8" hidden="true" customHeight="false" outlineLevel="0" collapsed="false">
      <c r="A28" s="329"/>
      <c r="B28" s="323"/>
      <c r="C28" s="323"/>
      <c r="D28" s="407" t="s">
        <v>990</v>
      </c>
      <c r="E28" s="378" t="n">
        <f aca="false">+VLOOKUP($D28,PREUS!$B$1:$F$589,3,FALSE())</f>
        <v>42.15</v>
      </c>
      <c r="F28" s="378" t="str">
        <f aca="false">+VLOOKUP($D28,PREUS!$B$1:$F$589,4,FALSE())</f>
        <v>h</v>
      </c>
      <c r="G28" s="348" t="n">
        <v>0.0804</v>
      </c>
      <c r="H28" s="404" t="n">
        <f aca="false">E28*G28</f>
        <v>3.38886</v>
      </c>
    </row>
    <row r="29" customFormat="false" ht="13.8" hidden="true" customHeight="false" outlineLevel="0" collapsed="false">
      <c r="A29" s="329"/>
      <c r="B29" s="323"/>
      <c r="C29" s="323"/>
      <c r="D29" s="407" t="s">
        <v>991</v>
      </c>
      <c r="E29" s="378" t="n">
        <f aca="false">+VLOOKUP($D29,PREUS!$B$1:$F$589,3,FALSE())</f>
        <v>27.39</v>
      </c>
      <c r="F29" s="378" t="str">
        <f aca="false">+VLOOKUP($D29,PREUS!$B$1:$F$589,4,FALSE())</f>
        <v>h</v>
      </c>
      <c r="G29" s="348" t="n">
        <v>0.0804</v>
      </c>
      <c r="H29" s="404" t="n">
        <f aca="false">E29*G29</f>
        <v>2.202156</v>
      </c>
    </row>
    <row r="30" customFormat="false" ht="13.8" hidden="true" customHeight="false" outlineLevel="0" collapsed="false">
      <c r="B30" s="323"/>
      <c r="C30" s="323"/>
      <c r="D30" s="286" t="s">
        <v>987</v>
      </c>
      <c r="E30" s="379" t="n">
        <f aca="false">SUM(H28:H29)</f>
        <v>5.591016</v>
      </c>
      <c r="F30" s="403" t="s">
        <v>988</v>
      </c>
      <c r="G30" s="405" t="n">
        <v>0.02</v>
      </c>
      <c r="H30" s="404" t="n">
        <f aca="false">E30*G30</f>
        <v>0.11182032</v>
      </c>
    </row>
    <row r="31" customFormat="false" ht="13.8" hidden="false" customHeight="false" outlineLevel="0" collapsed="false">
      <c r="A31" s="354"/>
      <c r="B31" s="355"/>
      <c r="C31" s="355"/>
      <c r="D31" s="351"/>
      <c r="E31" s="352"/>
      <c r="F31" s="352"/>
      <c r="G31" s="352"/>
      <c r="H31" s="358"/>
      <c r="I31" s="279"/>
    </row>
    <row r="32" customFormat="false" ht="13.8" hidden="false" customHeight="false" outlineLevel="0" collapsed="false">
      <c r="A32" s="286" t="s">
        <v>33</v>
      </c>
      <c r="B32" s="337"/>
      <c r="C32" s="337" t="str">
        <f aca="false">+VLOOKUP($A32,BASEdades!$A$3:$AA$283,3,FALSE())</f>
        <v>m2</v>
      </c>
      <c r="D32" s="367" t="str">
        <f aca="false">+VLOOKUP($A32,BASEdades!$A$3:$AA$298,2,FALSE())</f>
        <v>Demolició de solera de formigó</v>
      </c>
      <c r="E32" s="338"/>
      <c r="F32" s="338"/>
      <c r="G32" s="338"/>
      <c r="H32" s="340" t="n">
        <f aca="false">+VLOOKUP($A32,BASEdades!$A$3:$AA$283,7,FALSE())</f>
        <v>15</v>
      </c>
      <c r="I32" s="340" t="e">
        <f aca="false">#REF!*H32</f>
        <v>#REF!</v>
      </c>
    </row>
    <row r="33" customFormat="false" ht="55.2" hidden="false" customHeight="false" outlineLevel="0" collapsed="false">
      <c r="A33" s="329"/>
      <c r="B33" s="368"/>
      <c r="C33" s="368"/>
      <c r="D33" s="353" t="str">
        <f aca="false">+VLOOKUP($A32,BASEdades!$A$3:$AA$283,4,FALSE())</f>
        <v>Demolició de solera de formigó en massa de fins a 15cm, mitjançant retroexcavadora amb martell picador. El preu inclou el picat i estesa del material per ser utilitzat com a grava de drenatge.</v>
      </c>
      <c r="E33" s="341"/>
      <c r="F33" s="341"/>
      <c r="G33" s="341"/>
      <c r="H33" s="344"/>
      <c r="I33" s="370"/>
    </row>
    <row r="34" customFormat="false" ht="14.25" hidden="false" customHeight="true" outlineLevel="0" collapsed="false">
      <c r="A34" s="329"/>
      <c r="B34" s="368"/>
      <c r="C34" s="368"/>
      <c r="D34" s="341" t="str">
        <f aca="false">+VLOOKUP($A32,BASEdades!$A$3:$AA$283,6,FALSE())</f>
        <v>.</v>
      </c>
      <c r="E34" s="348"/>
      <c r="F34" s="348"/>
      <c r="G34" s="348"/>
      <c r="H34" s="344"/>
      <c r="I34" s="370"/>
    </row>
    <row r="35" customFormat="false" ht="13.8" hidden="true" customHeight="false" outlineLevel="0" collapsed="false">
      <c r="A35" s="329"/>
      <c r="B35" s="323"/>
      <c r="C35" s="323"/>
      <c r="D35" s="407" t="s">
        <v>992</v>
      </c>
      <c r="E35" s="378" t="n">
        <f aca="false">+VLOOKUP($D35,PREUS!$B$1:$F$589,3,FALSE())</f>
        <v>4.57</v>
      </c>
      <c r="F35" s="378" t="str">
        <f aca="false">+VLOOKUP($D35,PREUS!$B$1:$F$589,4,FALSE())</f>
        <v>h</v>
      </c>
      <c r="G35" s="348" t="n">
        <v>0.1</v>
      </c>
      <c r="H35" s="404" t="n">
        <f aca="false">E35*G35</f>
        <v>0.457</v>
      </c>
    </row>
    <row r="36" customFormat="false" ht="13.8" hidden="true" customHeight="false" outlineLevel="0" collapsed="false">
      <c r="A36" s="329"/>
      <c r="B36" s="323"/>
      <c r="C36" s="323"/>
      <c r="D36" s="407" t="s">
        <v>993</v>
      </c>
      <c r="E36" s="378" t="n">
        <f aca="false">+VLOOKUP($D36,PREUS!$B$1:$F$589,3,FALSE())</f>
        <v>4.27</v>
      </c>
      <c r="F36" s="378" t="str">
        <f aca="false">+VLOOKUP($D36,PREUS!$B$1:$F$589,4,FALSE())</f>
        <v>h</v>
      </c>
      <c r="G36" s="348" t="n">
        <v>0.1</v>
      </c>
      <c r="H36" s="404" t="n">
        <f aca="false">E36*G36</f>
        <v>0.427</v>
      </c>
    </row>
    <row r="37" customFormat="false" ht="13.8" hidden="true" customHeight="false" outlineLevel="0" collapsed="false">
      <c r="A37" s="329"/>
      <c r="B37" s="323"/>
      <c r="C37" s="323"/>
      <c r="D37" s="407" t="s">
        <v>994</v>
      </c>
      <c r="E37" s="378" t="n">
        <f aca="false">+VLOOKUP($D37,PREUS!$B$1:$F$589,3,FALSE())</f>
        <v>26.64</v>
      </c>
      <c r="F37" s="378" t="str">
        <f aca="false">+VLOOKUP($D37,PREUS!$B$1:$F$589,4,FALSE())</f>
        <v>h</v>
      </c>
      <c r="G37" s="348" t="n">
        <v>0.2635</v>
      </c>
      <c r="H37" s="404" t="n">
        <f aca="false">E37*G37</f>
        <v>7.01964</v>
      </c>
    </row>
    <row r="38" customFormat="false" ht="13.8" hidden="true" customHeight="false" outlineLevel="0" collapsed="false">
      <c r="A38" s="329"/>
      <c r="B38" s="323"/>
      <c r="C38" s="323"/>
      <c r="D38" s="407" t="s">
        <v>986</v>
      </c>
      <c r="E38" s="378" t="n">
        <f aca="false">+VLOOKUP($D38,PREUS!$B$1:$F$589,3,FALSE())</f>
        <v>25.8</v>
      </c>
      <c r="F38" s="378" t="str">
        <f aca="false">+VLOOKUP($D38,PREUS!$B$1:$F$589,4,FALSE())</f>
        <v>h</v>
      </c>
      <c r="G38" s="348" t="n">
        <v>0.2635</v>
      </c>
      <c r="H38" s="404" t="n">
        <f aca="false">E38*G38</f>
        <v>6.7983</v>
      </c>
    </row>
    <row r="39" customFormat="false" ht="13.8" hidden="true" customHeight="false" outlineLevel="0" collapsed="false">
      <c r="B39" s="323"/>
      <c r="C39" s="323"/>
      <c r="D39" s="286" t="s">
        <v>987</v>
      </c>
      <c r="E39" s="379" t="n">
        <f aca="false">SUM(H35:H38)</f>
        <v>14.70194</v>
      </c>
      <c r="F39" s="403" t="s">
        <v>988</v>
      </c>
      <c r="G39" s="405" t="n">
        <v>0.02</v>
      </c>
      <c r="H39" s="404" t="n">
        <f aca="false">E39*G39</f>
        <v>0.2940388</v>
      </c>
    </row>
    <row r="40" customFormat="false" ht="13.8" hidden="true" customHeight="false" outlineLevel="0" collapsed="false">
      <c r="A40" s="329"/>
      <c r="B40" s="323"/>
      <c r="C40" s="323"/>
      <c r="D40" s="350"/>
      <c r="E40" s="348"/>
      <c r="F40" s="348"/>
      <c r="G40" s="348"/>
      <c r="H40" s="349"/>
    </row>
    <row r="41" customFormat="false" ht="13.8" hidden="false" customHeight="false" outlineLevel="0" collapsed="false">
      <c r="A41" s="329"/>
      <c r="B41" s="323"/>
      <c r="C41" s="323"/>
      <c r="D41" s="350"/>
      <c r="E41" s="348"/>
      <c r="F41" s="348"/>
      <c r="G41" s="348"/>
      <c r="H41" s="349"/>
    </row>
    <row r="42" customFormat="false" ht="13.8" hidden="false" customHeight="false" outlineLevel="0" collapsed="false">
      <c r="A42" s="286" t="s">
        <v>85</v>
      </c>
      <c r="B42" s="337"/>
      <c r="C42" s="337" t="str">
        <f aca="false">+VLOOKUP($A42,BASEdades!$A$3:$AA$283,3,FALSE())</f>
        <v>ut</v>
      </c>
      <c r="D42" s="367" t="str">
        <f aca="false">+VLOOKUP($A42,BASEdades!$A$3:$AA$298,2,FALSE())</f>
        <v>Mostreig</v>
      </c>
      <c r="E42" s="338"/>
      <c r="F42" s="338"/>
      <c r="G42" s="338"/>
      <c r="H42" s="340" t="n">
        <f aca="false">+VLOOKUP($A42,BASEdades!$A$3:$AA$283,7,FALSE())</f>
        <v>135.39</v>
      </c>
      <c r="I42" s="340" t="e">
        <f aca="false">#REF!*H42</f>
        <v>#REF!</v>
      </c>
    </row>
    <row r="43" customFormat="false" ht="68.65" hidden="false" customHeight="false" outlineLevel="0" collapsed="false">
      <c r="A43" s="329"/>
      <c r="B43" s="368"/>
      <c r="C43" s="368"/>
      <c r="D43" s="353" t="str">
        <f aca="false">+VLOOKUP($A42,BASEdades!$A$3:$AA$283,4,FALSE())</f>
        <v>Mostreig, realització de con d'Abrams, elaboració de les provetes, cura, recapçament i assaig a compressió d'una sèrie de cinc provetes cilíndriques de 15x30 cm, segons la norma UNE-EN 12390-1, UNE-EN 12390-2, UNE-EN 12390-3, UNE-EN 12350-1 i UNE-EN 12350-2</v>
      </c>
      <c r="E43" s="341"/>
      <c r="F43" s="341"/>
      <c r="G43" s="341"/>
      <c r="H43" s="344"/>
      <c r="I43" s="370"/>
    </row>
    <row r="44" customFormat="false" ht="14.9" hidden="false" customHeight="false" outlineLevel="0" collapsed="false">
      <c r="A44" s="329"/>
      <c r="B44" s="368"/>
      <c r="C44" s="368"/>
      <c r="D44" s="341" t="str">
        <f aca="false">+VLOOKUP($A42,BASEdades!$A$3:$AA$283,5,FALSE())</f>
        <v>.</v>
      </c>
      <c r="E44" s="341"/>
      <c r="F44" s="341"/>
      <c r="G44" s="341"/>
      <c r="H44" s="344"/>
      <c r="I44" s="370"/>
    </row>
    <row r="45" customFormat="false" ht="13.8" hidden="false" customHeight="false" outlineLevel="0" collapsed="false">
      <c r="A45" s="354"/>
      <c r="B45" s="355"/>
      <c r="C45" s="355"/>
      <c r="D45" s="351"/>
      <c r="E45" s="352"/>
      <c r="F45" s="352"/>
      <c r="G45" s="352"/>
      <c r="H45" s="358"/>
      <c r="I45" s="279"/>
    </row>
    <row r="46" customFormat="false" ht="13.8" hidden="false" customHeight="false" outlineLevel="0" collapsed="false">
      <c r="A46" s="286" t="s">
        <v>71</v>
      </c>
      <c r="B46" s="337"/>
      <c r="C46" s="337" t="str">
        <f aca="false">+VLOOKUP($A46,BASEdades!$A$3:$AA$283,3,FALSE())</f>
        <v>m3</v>
      </c>
      <c r="D46" s="367" t="str">
        <f aca="false">+VLOOKUP($A46,BASEdades!$A$3:$AA$298,2,FALSE())</f>
        <v>Rebaix per a fonaments i pous</v>
      </c>
      <c r="E46" s="338"/>
      <c r="F46" s="338"/>
      <c r="G46" s="338"/>
      <c r="H46" s="340" t="n">
        <f aca="false">+VLOOKUP($A46,BASEdades!$A$3:$AA$283,7,FALSE())</f>
        <v>33.63</v>
      </c>
      <c r="I46" s="340" t="e">
        <f aca="false">#REF!*H46</f>
        <v>#REF!</v>
      </c>
    </row>
    <row r="47" customFormat="false" ht="68.65" hidden="false" customHeight="false" outlineLevel="0" collapsed="false">
      <c r="A47" s="329"/>
      <c r="B47" s="368"/>
      <c r="C47" s="368"/>
      <c r="D47" s="353" t="str">
        <f aca="false">+VLOOKUP($A46,BASEdades!$A$3:$AA$283,4,FALSE())</f>
        <v>Excavació a cel obert, en terra d'argila semidura, amb mitjans mecànics i càrrega a camió. El preu no inclou el transport dels materials excavats. Excavació de rases per a fonaments o pous, en terreny existent, amb mitjans mecànics adients, i càrrega sobre camió o contenidor. </v>
      </c>
      <c r="E47" s="341"/>
      <c r="F47" s="341"/>
      <c r="G47" s="341"/>
      <c r="H47" s="344"/>
      <c r="I47" s="370"/>
    </row>
    <row r="48" customFormat="false" ht="14.9" hidden="false" customHeight="false" outlineLevel="0" collapsed="false">
      <c r="A48" s="329"/>
      <c r="B48" s="368"/>
      <c r="C48" s="368"/>
      <c r="D48" s="341" t="str">
        <f aca="false">+VLOOKUP($A46,BASEdades!$A$3:$AA$283,6,FALSE())</f>
        <v>.</v>
      </c>
      <c r="E48" s="348"/>
      <c r="F48" s="348"/>
      <c r="G48" s="348"/>
      <c r="H48" s="344"/>
      <c r="I48" s="370"/>
    </row>
    <row r="49" customFormat="false" ht="13.8" hidden="true" customHeight="false" outlineLevel="0" collapsed="false">
      <c r="A49" s="329"/>
      <c r="B49" s="323"/>
      <c r="C49" s="323"/>
      <c r="D49" s="286" t="s">
        <v>995</v>
      </c>
      <c r="E49" s="378" t="n">
        <f aca="false">+VLOOKUP($D49,PREUS!$B$1:$F$589,3,FALSE())</f>
        <v>41.71</v>
      </c>
      <c r="F49" s="378" t="str">
        <f aca="false">+VLOOKUP($D49,PREUS!$B$1:$F$589,4,FALSE())</f>
        <v>h</v>
      </c>
      <c r="G49" s="406" t="n">
        <v>0.47</v>
      </c>
      <c r="H49" s="404" t="n">
        <f aca="false">E49*G49</f>
        <v>19.6037</v>
      </c>
    </row>
    <row r="50" customFormat="false" ht="13.8" hidden="true" customHeight="false" outlineLevel="0" collapsed="false">
      <c r="A50" s="329"/>
      <c r="B50" s="323"/>
      <c r="C50" s="323"/>
      <c r="D50" s="286" t="s">
        <v>991</v>
      </c>
      <c r="E50" s="378" t="n">
        <f aca="false">+VLOOKUP($D50,PREUS!$B$1:$F$589,3,FALSE())</f>
        <v>27.39</v>
      </c>
      <c r="F50" s="378" t="str">
        <f aca="false">+VLOOKUP($D50,PREUS!$B$1:$F$589,4,FALSE())</f>
        <v>h</v>
      </c>
      <c r="G50" s="406" t="n">
        <v>0.488</v>
      </c>
      <c r="H50" s="404" t="n">
        <f aca="false">E50*G50</f>
        <v>13.36632</v>
      </c>
    </row>
    <row r="51" customFormat="false" ht="13.8" hidden="true" customHeight="false" outlineLevel="0" collapsed="false">
      <c r="B51" s="323"/>
      <c r="C51" s="323"/>
      <c r="D51" s="286" t="s">
        <v>987</v>
      </c>
      <c r="E51" s="379" t="n">
        <f aca="false">SUM(H49:H50)</f>
        <v>32.97002</v>
      </c>
      <c r="F51" s="403" t="s">
        <v>988</v>
      </c>
      <c r="G51" s="405" t="n">
        <v>0.02</v>
      </c>
      <c r="H51" s="404" t="n">
        <f aca="false">E51*G51</f>
        <v>0.6594004</v>
      </c>
    </row>
    <row r="52" customFormat="false" ht="13.8" hidden="true" customHeight="false" outlineLevel="0" collapsed="false">
      <c r="A52" s="329"/>
      <c r="B52" s="323"/>
      <c r="C52" s="323"/>
      <c r="D52" s="408"/>
      <c r="E52" s="378"/>
      <c r="F52" s="378"/>
      <c r="G52" s="406"/>
      <c r="H52" s="404"/>
    </row>
    <row r="53" s="415" customFormat="true" ht="13.8" hidden="false" customHeight="false" outlineLevel="0" collapsed="false">
      <c r="A53" s="409"/>
      <c r="B53" s="410"/>
      <c r="C53" s="410"/>
      <c r="D53" s="411"/>
      <c r="E53" s="412"/>
      <c r="F53" s="412"/>
      <c r="G53" s="412"/>
      <c r="H53" s="413"/>
      <c r="I53" s="414"/>
      <c r="M53" s="0"/>
      <c r="N53" s="0"/>
    </row>
    <row r="54" customFormat="false" ht="13.8" hidden="false" customHeight="false" outlineLevel="0" collapsed="false">
      <c r="A54" s="286" t="s">
        <v>82</v>
      </c>
      <c r="B54" s="337"/>
      <c r="C54" s="337" t="str">
        <f aca="false">+VLOOKUP($A54,BASEdades!$A$3:$AA$283,3,FALSE())</f>
        <v>m3</v>
      </c>
      <c r="D54" s="367" t="str">
        <f aca="false">+VLOOKUP($A54,BASEdades!$A$3:$AA$298,2,FALSE())</f>
        <v>Fonament de formigó HA-25</v>
      </c>
      <c r="E54" s="338"/>
      <c r="F54" s="338"/>
      <c r="G54" s="338"/>
      <c r="H54" s="340" t="n">
        <f aca="false">+VLOOKUP($A54,BASEdades!$A$3:$AA$283,7,FALSE())</f>
        <v>265</v>
      </c>
      <c r="I54" s="340" t="e">
        <f aca="false">#REF!*H54</f>
        <v>#REF!</v>
      </c>
    </row>
    <row r="55" customFormat="false" ht="170.25" hidden="false" customHeight="true" outlineLevel="0" collapsed="false">
      <c r="A55" s="329"/>
      <c r="B55" s="368"/>
      <c r="C55" s="368"/>
      <c r="D55" s="353" t="str">
        <f aca="false">+VLOOKUP($A54,BASEdades!$A$3:$AA$283,4,FALSE())</f>
        <v>Fonament de formigÃ³ armat HA-25/B/20/IIa abocat des de camiÃ³ o qualsevol altre mitjÃ  alternatiu, amb armadura de fonament i esperes de murs que arrenquen del fonament amb barres tipus AP500 S de lÃ­mit elÃ stic &gt; = 500 N / mm2 d'acer en barres corrugades, amb una quantia de fins a 45 kg/mÂ³ (comprovada i validada per el contractista) i encofrat si Ã©s necessari per la tipologia del terreny amb tauler de fusta o qualsevol altre sistema. S'inclouen tots els elements necessaris per a la realització del fonament: formigó, acer, encofrat, perforacions, connectors i qualsevol altre element o treball auxiliar necessari per a la seva execució.   </v>
      </c>
      <c r="E55" s="341"/>
      <c r="F55" s="341"/>
      <c r="G55" s="341"/>
      <c r="H55" s="344"/>
      <c r="I55" s="370"/>
    </row>
    <row r="56" customFormat="false" ht="14.9" hidden="false" customHeight="false" outlineLevel="0" collapsed="false">
      <c r="A56" s="329"/>
      <c r="B56" s="368"/>
      <c r="C56" s="368"/>
      <c r="D56" s="341" t="str">
        <f aca="false">+VLOOKUP($A54,BASEdades!$A$3:$AA$283,6,FALSE())</f>
        <v>.</v>
      </c>
      <c r="E56" s="348"/>
      <c r="F56" s="348"/>
      <c r="G56" s="348"/>
      <c r="H56" s="344"/>
      <c r="I56" s="370"/>
    </row>
    <row r="57" customFormat="false" ht="13.8" hidden="true" customHeight="false" outlineLevel="0" collapsed="false">
      <c r="A57" s="329"/>
      <c r="B57" s="368"/>
      <c r="C57" s="368"/>
      <c r="D57" s="286" t="s">
        <v>996</v>
      </c>
      <c r="E57" s="378" t="n">
        <f aca="false">+VLOOKUP($D57,PREUS!$B$1:$F$589,3,FALSE())</f>
        <v>92.2</v>
      </c>
      <c r="F57" s="378" t="str">
        <f aca="false">+VLOOKUP($D57,PREUS!$B$1:$F$589,4,FALSE())</f>
        <v>m3</v>
      </c>
      <c r="G57" s="406" t="n">
        <v>1.1</v>
      </c>
      <c r="H57" s="404" t="n">
        <f aca="false">E57*G57</f>
        <v>101.42</v>
      </c>
      <c r="I57" s="370"/>
    </row>
    <row r="58" customFormat="false" ht="13.8" hidden="true" customHeight="false" outlineLevel="0" collapsed="false">
      <c r="A58" s="329"/>
      <c r="B58" s="323"/>
      <c r="C58" s="323"/>
      <c r="D58" s="416" t="s">
        <v>997</v>
      </c>
      <c r="E58" s="378" t="n">
        <f aca="false">+VLOOKUP($D58,PREUS!$B$1:$F$589,3,FALSE())</f>
        <v>1.6</v>
      </c>
      <c r="F58" s="378" t="str">
        <f aca="false">+VLOOKUP($D58,PREUS!$B$1:$F$589,4,FALSE())</f>
        <v>kg</v>
      </c>
      <c r="G58" s="406" t="n">
        <v>50</v>
      </c>
      <c r="H58" s="404" t="n">
        <f aca="false">E58*G58</f>
        <v>80</v>
      </c>
    </row>
    <row r="59" customFormat="false" ht="13.8" hidden="true" customHeight="false" outlineLevel="0" collapsed="false">
      <c r="A59" s="329"/>
      <c r="B59" s="323"/>
      <c r="C59" s="323"/>
      <c r="D59" s="286" t="s">
        <v>998</v>
      </c>
      <c r="E59" s="378" t="n">
        <f aca="false">+VLOOKUP($D59,PREUS!$B$1:$F$589,3,FALSE())</f>
        <v>30.76</v>
      </c>
      <c r="F59" s="378" t="str">
        <f aca="false">+VLOOKUP($D59,PREUS!$B$1:$F$589,4,FALSE())</f>
        <v>h</v>
      </c>
      <c r="G59" s="406" t="n">
        <v>0.15</v>
      </c>
      <c r="H59" s="404" t="n">
        <f aca="false">E59*G59</f>
        <v>4.614</v>
      </c>
    </row>
    <row r="60" customFormat="false" ht="13.8" hidden="true" customHeight="false" outlineLevel="0" collapsed="false">
      <c r="A60" s="329"/>
      <c r="B60" s="323"/>
      <c r="C60" s="323"/>
      <c r="D60" s="286" t="s">
        <v>999</v>
      </c>
      <c r="E60" s="378" t="n">
        <f aca="false">+VLOOKUP($D60,PREUS!$B$1:$F$589,3,FALSE())</f>
        <v>27.36</v>
      </c>
      <c r="F60" s="378" t="str">
        <f aca="false">+VLOOKUP($D60,PREUS!$B$1:$F$589,4,FALSE())</f>
        <v>h</v>
      </c>
      <c r="G60" s="406" t="n">
        <v>0.15</v>
      </c>
      <c r="H60" s="404" t="n">
        <f aca="false">E60*G60</f>
        <v>4.104</v>
      </c>
    </row>
    <row r="61" customFormat="false" ht="13.8" hidden="true" customHeight="false" outlineLevel="0" collapsed="false">
      <c r="A61" s="329"/>
      <c r="B61" s="323"/>
      <c r="C61" s="323"/>
      <c r="D61" s="286" t="s">
        <v>989</v>
      </c>
      <c r="E61" s="378" t="n">
        <f aca="false">+VLOOKUP($D61,PREUS!$B$1:$F$589,3,FALSE())</f>
        <v>30.79</v>
      </c>
      <c r="F61" s="378" t="str">
        <f aca="false">+VLOOKUP($D61,PREUS!$B$1:$F$589,4,FALSE())</f>
        <v>h</v>
      </c>
      <c r="G61" s="406" t="n">
        <v>1.2</v>
      </c>
      <c r="H61" s="404" t="n">
        <f aca="false">E61*G61</f>
        <v>36.948</v>
      </c>
    </row>
    <row r="62" customFormat="false" ht="13.8" hidden="true" customHeight="false" outlineLevel="0" collapsed="false">
      <c r="A62" s="329"/>
      <c r="B62" s="323"/>
      <c r="C62" s="323"/>
      <c r="D62" s="286" t="s">
        <v>991</v>
      </c>
      <c r="E62" s="378" t="n">
        <f aca="false">+VLOOKUP($D62,PREUS!$B$1:$F$589,3,FALSE())</f>
        <v>27.39</v>
      </c>
      <c r="F62" s="378" t="str">
        <f aca="false">+VLOOKUP($D62,PREUS!$B$1:$F$589,4,FALSE())</f>
        <v>h</v>
      </c>
      <c r="G62" s="406" t="n">
        <v>1.1945</v>
      </c>
      <c r="H62" s="404" t="n">
        <f aca="false">E62*G62</f>
        <v>32.717355</v>
      </c>
    </row>
    <row r="63" customFormat="false" ht="13.8" hidden="true" customHeight="false" outlineLevel="0" collapsed="false">
      <c r="B63" s="323"/>
      <c r="C63" s="323"/>
      <c r="D63" s="286" t="s">
        <v>987</v>
      </c>
      <c r="E63" s="379" t="n">
        <f aca="false">SUM(H56:H62)</f>
        <v>259.803355</v>
      </c>
      <c r="F63" s="403" t="s">
        <v>988</v>
      </c>
      <c r="G63" s="405" t="n">
        <v>0.02</v>
      </c>
      <c r="H63" s="404" t="n">
        <f aca="false">E63*G63</f>
        <v>5.1960671</v>
      </c>
    </row>
    <row r="64" s="415" customFormat="true" ht="13.8" hidden="true" customHeight="false" outlineLevel="0" collapsed="false">
      <c r="A64" s="409"/>
      <c r="B64" s="410"/>
      <c r="C64" s="410"/>
      <c r="D64" s="411"/>
      <c r="E64" s="412"/>
      <c r="F64" s="412"/>
      <c r="G64" s="412"/>
      <c r="H64" s="413"/>
      <c r="I64" s="414"/>
      <c r="M64" s="0"/>
      <c r="N64" s="0"/>
    </row>
    <row r="65" s="415" customFormat="true" ht="13.8" hidden="true" customHeight="false" outlineLevel="0" collapsed="false">
      <c r="A65" s="409"/>
      <c r="B65" s="410"/>
      <c r="C65" s="410"/>
      <c r="D65" s="411"/>
      <c r="E65" s="412"/>
      <c r="F65" s="412"/>
      <c r="G65" s="412"/>
      <c r="H65" s="413"/>
      <c r="I65" s="414"/>
      <c r="M65" s="0"/>
      <c r="N65" s="0"/>
    </row>
    <row r="66" s="415" customFormat="true" ht="13.8" hidden="false" customHeight="false" outlineLevel="0" collapsed="false">
      <c r="A66" s="409"/>
      <c r="B66" s="410"/>
      <c r="C66" s="410"/>
      <c r="D66" s="411"/>
      <c r="E66" s="412"/>
      <c r="F66" s="412"/>
      <c r="G66" s="412"/>
      <c r="H66" s="413"/>
      <c r="I66" s="414"/>
      <c r="M66" s="0"/>
      <c r="N66" s="0"/>
    </row>
    <row r="67" customFormat="false" ht="13.8" hidden="false" customHeight="false" outlineLevel="0" collapsed="false">
      <c r="A67" s="277" t="s">
        <v>723</v>
      </c>
      <c r="B67" s="337"/>
      <c r="C67" s="337" t="str">
        <f aca="false">+VLOOKUP($A67,BASEdades!$A$3:$AA$283,3,FALSE())</f>
        <v>kg</v>
      </c>
      <c r="D67" s="367" t="str">
        <f aca="false">+VLOOKUP($A67,BASEdades!$A$3:$AA$298,2,FALSE())</f>
        <v>Acer en bigues</v>
      </c>
      <c r="E67" s="338"/>
      <c r="F67" s="338"/>
      <c r="G67" s="338"/>
      <c r="H67" s="340" t="n">
        <f aca="false">+VLOOKUP($A67,BASEdades!$A$3:$AA$283,7,FALSE())</f>
        <v>3.192</v>
      </c>
      <c r="I67" s="340" t="e">
        <f aca="false">#REF!*H67</f>
        <v>#REF!</v>
      </c>
    </row>
    <row r="68" customFormat="false" ht="60.75" hidden="false" customHeight="true" outlineLevel="0" collapsed="false">
      <c r="A68" s="354"/>
      <c r="B68" s="368"/>
      <c r="C68" s="368"/>
      <c r="D68" s="353" t="str">
        <f aca="false">+VLOOKUP($A67,BASEdades!$A$3:$AA$283,4,FALSE())</f>
        <v>Acer UNE-EN 10025 S275JR, en bigues formades por peces simples de perfils laminats en calent de les sèries IPN, IPE, HEB, HEA, HEM o UPN, acabat amb emprimació antioxidant, amb unions soldades en obra, a una altura de fins a 3 m.</v>
      </c>
      <c r="E68" s="341"/>
      <c r="F68" s="341"/>
      <c r="G68" s="341"/>
      <c r="H68" s="344"/>
      <c r="I68" s="370"/>
    </row>
    <row r="69" customFormat="false" ht="14.9" hidden="false" customHeight="false" outlineLevel="0" collapsed="false">
      <c r="A69" s="354"/>
      <c r="B69" s="368"/>
      <c r="C69" s="368"/>
      <c r="D69" s="341" t="str">
        <f aca="false">+VLOOKUP($A67,BASEdades!$A$3:$AA$283,5,FALSE())</f>
        <v>.Mides : segons disseny</v>
      </c>
      <c r="E69" s="341"/>
      <c r="F69" s="341"/>
      <c r="G69" s="341"/>
      <c r="H69" s="344"/>
      <c r="I69" s="370"/>
    </row>
    <row r="70" customFormat="false" ht="13.8" hidden="true" customHeight="false" outlineLevel="0" collapsed="false">
      <c r="A70" s="329"/>
      <c r="B70" s="323"/>
      <c r="C70" s="323"/>
      <c r="D70" s="286" t="s">
        <v>1000</v>
      </c>
      <c r="E70" s="378" t="n">
        <f aca="false">+VLOOKUP($D70,PREUS!$B$1:$F$589,3,FALSE())</f>
        <v>1.54</v>
      </c>
      <c r="F70" s="378" t="str">
        <f aca="false">+VLOOKUP($D70,PREUS!$B$1:$F$589,4,FALSE())</f>
        <v>kg</v>
      </c>
      <c r="G70" s="348" t="n">
        <v>1</v>
      </c>
      <c r="H70" s="404" t="n">
        <f aca="false">E70*G70</f>
        <v>1.54</v>
      </c>
    </row>
    <row r="71" customFormat="false" ht="13.8" hidden="true" customHeight="false" outlineLevel="0" collapsed="false">
      <c r="A71" s="329"/>
      <c r="B71" s="323"/>
      <c r="C71" s="323"/>
      <c r="D71" s="286" t="s">
        <v>1001</v>
      </c>
      <c r="E71" s="378" t="n">
        <f aca="false">+VLOOKUP($D71,PREUS!$B$1:$F$589,3,FALSE())</f>
        <v>3.42</v>
      </c>
      <c r="F71" s="378" t="str">
        <f aca="false">+VLOOKUP($D71,PREUS!$B$1:$F$589,4,FALSE())</f>
        <v>h</v>
      </c>
      <c r="G71" s="348" t="n">
        <v>0.04</v>
      </c>
      <c r="H71" s="404" t="n">
        <f aca="false">E71*G71</f>
        <v>0.1368</v>
      </c>
    </row>
    <row r="72" customFormat="false" ht="13.8" hidden="true" customHeight="false" outlineLevel="0" collapsed="false">
      <c r="A72" s="329"/>
      <c r="B72" s="323"/>
      <c r="C72" s="323"/>
      <c r="D72" s="286" t="s">
        <v>1002</v>
      </c>
      <c r="E72" s="378" t="n">
        <f aca="false">+VLOOKUP($D72,PREUS!$B$1:$F$589,3,FALSE())</f>
        <v>30.76</v>
      </c>
      <c r="F72" s="378" t="str">
        <f aca="false">+VLOOKUP($D72,PREUS!$B$1:$F$589,4,FALSE())</f>
        <v>h</v>
      </c>
      <c r="G72" s="348" t="n">
        <v>0.0365</v>
      </c>
      <c r="H72" s="404" t="n">
        <f aca="false">E72*G72</f>
        <v>1.12274</v>
      </c>
    </row>
    <row r="73" customFormat="false" ht="13.8" hidden="true" customHeight="false" outlineLevel="0" collapsed="false">
      <c r="A73" s="329"/>
      <c r="B73" s="323"/>
      <c r="C73" s="323"/>
      <c r="D73" s="286" t="s">
        <v>1003</v>
      </c>
      <c r="E73" s="378" t="n">
        <f aca="false">+VLOOKUP($D73,PREUS!$B$1:$F$589,3,FALSE())</f>
        <v>27.36</v>
      </c>
      <c r="F73" s="378" t="str">
        <f aca="false">+VLOOKUP($D73,PREUS!$B$1:$F$589,4,FALSE())</f>
        <v>h</v>
      </c>
      <c r="G73" s="348" t="n">
        <v>0.012</v>
      </c>
      <c r="H73" s="404" t="n">
        <f aca="false">E73*G73</f>
        <v>0.32832</v>
      </c>
    </row>
    <row r="74" customFormat="false" ht="13.8" hidden="true" customHeight="false" outlineLevel="0" collapsed="false">
      <c r="B74" s="323"/>
      <c r="C74" s="323"/>
      <c r="D74" s="286" t="s">
        <v>987</v>
      </c>
      <c r="E74" s="379" t="n">
        <f aca="false">SUM(H70:H73)</f>
        <v>3.12786</v>
      </c>
      <c r="F74" s="403" t="s">
        <v>988</v>
      </c>
      <c r="G74" s="405" t="n">
        <v>0.02</v>
      </c>
      <c r="H74" s="404" t="n">
        <f aca="false">E74*G74</f>
        <v>0.0625572</v>
      </c>
    </row>
    <row r="75" customFormat="false" ht="13.8" hidden="false" customHeight="false" outlineLevel="0" collapsed="false">
      <c r="A75" s="329"/>
      <c r="B75" s="323"/>
      <c r="C75" s="323"/>
      <c r="D75" s="350"/>
      <c r="E75" s="348"/>
      <c r="F75" s="348"/>
      <c r="G75" s="348"/>
      <c r="H75" s="349"/>
    </row>
    <row r="76" customFormat="false" ht="13.8" hidden="false" customHeight="false" outlineLevel="0" collapsed="false">
      <c r="A76" s="286" t="s">
        <v>145</v>
      </c>
      <c r="B76" s="337"/>
      <c r="C76" s="337" t="str">
        <f aca="false">+VLOOKUP($A76,BASEdades!$A$3:$AA$283,3,FALSE())</f>
        <v>m2</v>
      </c>
      <c r="D76" s="367" t="str">
        <f aca="false">+VLOOKUP($A76,BASEdades!$A$3:$AA$298,2,FALSE())</f>
        <v>Pintat perfils metàl·lics</v>
      </c>
      <c r="E76" s="338"/>
      <c r="F76" s="338"/>
      <c r="G76" s="338"/>
      <c r="H76" s="340" t="n">
        <f aca="false">+VLOOKUP($A76,BASEdades!$A$3:$AA$283,7,FALSE())</f>
        <v>32.29</v>
      </c>
      <c r="I76" s="340" t="e">
        <f aca="false">#REF!*H76</f>
        <v>#REF!</v>
      </c>
    </row>
    <row r="77" customFormat="false" ht="95.5" hidden="false" customHeight="false" outlineLevel="0" collapsed="false">
      <c r="A77" s="329"/>
      <c r="B77" s="368"/>
      <c r="C77" s="368"/>
      <c r="D77" s="353" t="str">
        <f aca="false">+VLOOKUP($A76,BASEdades!$A$3:$AA$283,4,FALSE())</f>
        <v>Aplicació manual de dues mans d'esmalt sintètic d'assecat ràpid, a base de resines alquídiques, color blanc, acabat brillant, (rendiment: 0,077 l/m² cada mà); prèvia aplicació d'una mà d'emprimació sintètica antioxidant d'assecat ràpid, a base de resines alquídiques, color gris, acabat mat (rendiment: 0,125 l/m²), sobre biga formada per peces simples de perfils laminats d'acer.</v>
      </c>
      <c r="E77" s="341"/>
      <c r="F77" s="341"/>
      <c r="G77" s="341"/>
      <c r="H77" s="344"/>
      <c r="I77" s="370"/>
    </row>
    <row r="78" customFormat="false" ht="14.9" hidden="false" customHeight="false" outlineLevel="0" collapsed="false">
      <c r="A78" s="329"/>
      <c r="B78" s="368"/>
      <c r="C78" s="368"/>
      <c r="D78" s="341" t="str">
        <f aca="false">+VLOOKUP($A76,BASEdades!$A$3:$AA$283,5,FALSE())</f>
        <v>.</v>
      </c>
      <c r="E78" s="341"/>
      <c r="F78" s="341"/>
      <c r="G78" s="341"/>
      <c r="H78" s="344"/>
      <c r="I78" s="370"/>
    </row>
    <row r="79" customFormat="false" ht="13.8" hidden="true" customHeight="false" outlineLevel="0" collapsed="false">
      <c r="A79" s="329"/>
      <c r="B79" s="323"/>
      <c r="C79" s="323"/>
      <c r="D79" s="286" t="s">
        <v>1004</v>
      </c>
      <c r="E79" s="378" t="n">
        <f aca="false">+VLOOKUP($D79,PREUS!$B$1:$F$589,3,FALSE())</f>
        <v>13.28</v>
      </c>
      <c r="F79" s="378" t="str">
        <f aca="false">+VLOOKUP($D79,PREUS!$B$1:$F$589,4,FALSE())</f>
        <v>l</v>
      </c>
      <c r="G79" s="348" t="n">
        <v>0.154</v>
      </c>
      <c r="H79" s="404" t="n">
        <f aca="false">E79*G79</f>
        <v>2.04512</v>
      </c>
    </row>
    <row r="80" customFormat="false" ht="13.8" hidden="true" customHeight="false" outlineLevel="0" collapsed="false">
      <c r="A80" s="329"/>
      <c r="B80" s="323"/>
      <c r="C80" s="323"/>
      <c r="D80" s="286" t="s">
        <v>1005</v>
      </c>
      <c r="E80" s="378" t="n">
        <f aca="false">+VLOOKUP($D80,PREUS!$B$1:$F$589,3,FALSE())</f>
        <v>30.79</v>
      </c>
      <c r="F80" s="378" t="str">
        <f aca="false">+VLOOKUP($D80,PREUS!$B$1:$F$589,4,FALSE())</f>
        <v>h</v>
      </c>
      <c r="G80" s="348" t="n">
        <v>0.8</v>
      </c>
      <c r="H80" s="404" t="n">
        <f aca="false">E80*G80</f>
        <v>24.632</v>
      </c>
    </row>
    <row r="81" customFormat="false" ht="13.8" hidden="true" customHeight="false" outlineLevel="0" collapsed="false">
      <c r="A81" s="329"/>
      <c r="B81" s="323"/>
      <c r="C81" s="323"/>
      <c r="D81" s="286" t="s">
        <v>1006</v>
      </c>
      <c r="E81" s="378" t="n">
        <f aca="false">+VLOOKUP($D81,PREUS!$B$1:$F$589,3,FALSE())</f>
        <v>27.39</v>
      </c>
      <c r="F81" s="378" t="str">
        <f aca="false">+VLOOKUP($D81,PREUS!$B$1:$F$589,4,FALSE())</f>
        <v>h</v>
      </c>
      <c r="G81" s="348" t="n">
        <v>0.164</v>
      </c>
      <c r="H81" s="404" t="n">
        <f aca="false">E81*G81</f>
        <v>4.49196</v>
      </c>
    </row>
    <row r="82" customFormat="false" ht="13.8" hidden="true" customHeight="false" outlineLevel="0" collapsed="false">
      <c r="A82" s="329"/>
      <c r="B82" s="323"/>
      <c r="C82" s="323"/>
      <c r="D82" s="286" t="s">
        <v>1007</v>
      </c>
      <c r="E82" s="378" t="n">
        <f aca="false">+VLOOKUP($D82,PREUS!$B$1:$F$589,3,FALSE())</f>
        <v>129.04</v>
      </c>
      <c r="F82" s="378" t="str">
        <f aca="false">+VLOOKUP($D82,PREUS!$B$1:$F$589,4,FALSE())</f>
        <v>u</v>
      </c>
      <c r="G82" s="348" t="n">
        <v>0.01</v>
      </c>
      <c r="H82" s="404" t="n">
        <f aca="false">E82*G82</f>
        <v>1.2904</v>
      </c>
    </row>
    <row r="83" customFormat="false" ht="13.8" hidden="true" customHeight="false" outlineLevel="0" collapsed="false">
      <c r="B83" s="323"/>
      <c r="C83" s="323"/>
      <c r="D83" s="286" t="s">
        <v>987</v>
      </c>
      <c r="E83" s="379" t="n">
        <f aca="false">SUM(H77:H80)</f>
        <v>26.67712</v>
      </c>
      <c r="F83" s="403" t="s">
        <v>988</v>
      </c>
      <c r="G83" s="405" t="n">
        <v>0.02</v>
      </c>
      <c r="H83" s="404" t="n">
        <f aca="false">E83*G83</f>
        <v>0.5335424</v>
      </c>
    </row>
    <row r="84" customFormat="false" ht="13.8" hidden="true" customHeight="false" outlineLevel="0" collapsed="false">
      <c r="A84" s="329"/>
      <c r="B84" s="368"/>
      <c r="C84" s="368"/>
      <c r="D84" s="341"/>
      <c r="E84" s="341"/>
      <c r="F84" s="341"/>
      <c r="G84" s="341"/>
      <c r="H84" s="344"/>
      <c r="I84" s="370"/>
    </row>
    <row r="85" s="415" customFormat="true" ht="13.8" hidden="false" customHeight="false" outlineLevel="0" collapsed="false">
      <c r="A85" s="409"/>
      <c r="B85" s="410"/>
      <c r="C85" s="410"/>
      <c r="D85" s="411"/>
      <c r="E85" s="412"/>
      <c r="F85" s="412"/>
      <c r="G85" s="412"/>
      <c r="H85" s="413"/>
      <c r="I85" s="414"/>
      <c r="M85" s="0"/>
      <c r="N85" s="0"/>
    </row>
    <row r="86" customFormat="false" ht="13.8" hidden="false" customHeight="false" outlineLevel="0" collapsed="false">
      <c r="A86" s="277" t="s">
        <v>127</v>
      </c>
      <c r="B86" s="337"/>
      <c r="C86" s="337" t="str">
        <f aca="false">+VLOOKUP($A86,BASEdades!$A$3:$AA$283,3,FALSE())</f>
        <v>m3</v>
      </c>
      <c r="D86" s="367" t="str">
        <f aca="false">+VLOOKUP($A86,BASEdades!$A$3:$AA$298,2,FALSE())</f>
        <v>Reomplert localitzat amb àrids reciclats</v>
      </c>
      <c r="E86" s="338"/>
      <c r="F86" s="338"/>
      <c r="G86" s="338"/>
      <c r="H86" s="340" t="n">
        <f aca="false">+VLOOKUP($A86,BASEdades!$A$3:$AA$283,7,FALSE())</f>
        <v>32.48</v>
      </c>
      <c r="I86" s="340" t="e">
        <f aca="false">#REF!*H86</f>
        <v>#REF!</v>
      </c>
    </row>
    <row r="87" customFormat="false" ht="62.25" hidden="false" customHeight="true" outlineLevel="0" collapsed="false">
      <c r="A87" s="354"/>
      <c r="B87" s="368"/>
      <c r="C87" s="368"/>
      <c r="D87" s="353" t="str">
        <f aca="false">+VLOOKUP($A86,BASEdades!$A$3:$AA$283,4,FALSE())</f>
        <v>Reomplert localitzat amb àrid reciclat mixt de formigó i material ceràmic de 40 a 80 mm de diàmetre i compactació en tongades successives de 20 cm d'espessor màxim amb picó vibrant de guiat manual.
</v>
      </c>
      <c r="E87" s="341"/>
      <c r="F87" s="341"/>
      <c r="G87" s="341"/>
      <c r="H87" s="344"/>
      <c r="I87" s="370"/>
    </row>
    <row r="88" customFormat="false" ht="14.9" hidden="false" customHeight="false" outlineLevel="0" collapsed="false">
      <c r="A88" s="354"/>
      <c r="B88" s="368"/>
      <c r="C88" s="368"/>
      <c r="D88" s="341" t="str">
        <f aca="false">+VLOOKUP($A86,BASEdades!$A$3:$AA$283,5,FALSE())</f>
        <v>.</v>
      </c>
      <c r="E88" s="341"/>
      <c r="F88" s="341"/>
      <c r="G88" s="341"/>
      <c r="H88" s="344"/>
      <c r="I88" s="370"/>
    </row>
    <row r="89" customFormat="false" ht="13.8" hidden="true" customHeight="false" outlineLevel="0" collapsed="false">
      <c r="A89" s="329"/>
      <c r="B89" s="368"/>
      <c r="C89" s="368"/>
      <c r="D89" s="286" t="s">
        <v>1008</v>
      </c>
      <c r="E89" s="378" t="n">
        <f aca="false">+VLOOKUP($D89,PREUS!$B$1:$F$589,3,FALSE())</f>
        <v>9.66</v>
      </c>
      <c r="F89" s="378" t="str">
        <f aca="false">+VLOOKUP($D89,PREUS!$B$1:$F$589,4,FALSE())</f>
        <v>t</v>
      </c>
      <c r="G89" s="406" t="n">
        <v>2</v>
      </c>
      <c r="H89" s="404" t="n">
        <f aca="false">E89*G89</f>
        <v>19.32</v>
      </c>
      <c r="I89" s="370"/>
    </row>
    <row r="90" customFormat="false" ht="13.8" hidden="true" customHeight="false" outlineLevel="0" collapsed="false">
      <c r="A90" s="329"/>
      <c r="B90" s="368"/>
      <c r="C90" s="368"/>
      <c r="D90" s="286" t="s">
        <v>1009</v>
      </c>
      <c r="E90" s="378" t="n">
        <f aca="false">+VLOOKUP($D90,PREUS!$B$1:$F$589,3,FALSE())</f>
        <v>1.5</v>
      </c>
      <c r="F90" s="378" t="str">
        <f aca="false">+VLOOKUP($D90,PREUS!$B$1:$F$589,4,FALSE())</f>
        <v>m3</v>
      </c>
      <c r="G90" s="406" t="n">
        <v>0.008</v>
      </c>
      <c r="H90" s="404" t="n">
        <f aca="false">E90*G90</f>
        <v>0.012</v>
      </c>
      <c r="I90" s="370"/>
    </row>
    <row r="91" customFormat="false" ht="13.8" hidden="true" customHeight="false" outlineLevel="0" collapsed="false">
      <c r="A91" s="329"/>
      <c r="B91" s="323"/>
      <c r="C91" s="323"/>
      <c r="D91" s="286" t="s">
        <v>1010</v>
      </c>
      <c r="E91" s="378" t="n">
        <f aca="false">+VLOOKUP($D91,PREUS!$B$1:$F$589,3,FALSE())</f>
        <v>36.8</v>
      </c>
      <c r="F91" s="378" t="str">
        <f aca="false">+VLOOKUP($D91,PREUS!$B$1:$F$589,4,FALSE())</f>
        <v>h</v>
      </c>
      <c r="G91" s="406" t="n">
        <v>0.025</v>
      </c>
      <c r="H91" s="404" t="n">
        <f aca="false">E91*G91</f>
        <v>0.92</v>
      </c>
    </row>
    <row r="92" customFormat="false" ht="13.8" hidden="true" customHeight="false" outlineLevel="0" collapsed="false">
      <c r="A92" s="329"/>
      <c r="B92" s="323"/>
      <c r="C92" s="323"/>
      <c r="D92" s="286" t="s">
        <v>1011</v>
      </c>
      <c r="E92" s="378" t="n">
        <f aca="false">+VLOOKUP($D92,PREUS!$B$1:$F$589,3,FALSE())</f>
        <v>3.92</v>
      </c>
      <c r="F92" s="378" t="str">
        <f aca="false">+VLOOKUP($D92,PREUS!$B$1:$F$589,4,FALSE())</f>
        <v>h</v>
      </c>
      <c r="G92" s="406" t="n">
        <v>0.325</v>
      </c>
      <c r="H92" s="404" t="n">
        <f aca="false">E92*G92</f>
        <v>1.274</v>
      </c>
    </row>
    <row r="93" customFormat="false" ht="13.8" hidden="true" customHeight="false" outlineLevel="0" collapsed="false">
      <c r="A93" s="329"/>
      <c r="B93" s="323"/>
      <c r="C93" s="323"/>
      <c r="D93" s="286" t="s">
        <v>986</v>
      </c>
      <c r="E93" s="378" t="n">
        <f aca="false">+VLOOKUP($D93,PREUS!$B$1:$F$589,3,FALSE())</f>
        <v>25.8</v>
      </c>
      <c r="F93" s="378" t="str">
        <f aca="false">+VLOOKUP($D93,PREUS!$B$1:$F$589,4,FALSE())</f>
        <v>h</v>
      </c>
      <c r="G93" s="406" t="n">
        <v>0.4</v>
      </c>
      <c r="H93" s="404" t="n">
        <f aca="false">E93*G93</f>
        <v>10.32</v>
      </c>
    </row>
    <row r="94" customFormat="false" ht="13.8" hidden="true" customHeight="false" outlineLevel="0" collapsed="false">
      <c r="B94" s="323"/>
      <c r="C94" s="323"/>
      <c r="D94" s="286" t="s">
        <v>987</v>
      </c>
      <c r="E94" s="379" t="n">
        <f aca="false">SUM(H89:H93)</f>
        <v>31.846</v>
      </c>
      <c r="F94" s="403" t="s">
        <v>988</v>
      </c>
      <c r="G94" s="405" t="n">
        <v>0.02</v>
      </c>
      <c r="H94" s="404" t="n">
        <f aca="false">E94*G94</f>
        <v>0.63692</v>
      </c>
    </row>
    <row r="95" customFormat="false" ht="13.8" hidden="false" customHeight="false" outlineLevel="0" collapsed="false">
      <c r="A95" s="329"/>
      <c r="B95" s="323"/>
      <c r="C95" s="323"/>
      <c r="D95" s="350"/>
      <c r="E95" s="348"/>
      <c r="F95" s="348"/>
      <c r="G95" s="348"/>
      <c r="H95" s="349"/>
    </row>
    <row r="96" customFormat="false" ht="13.8" hidden="false" customHeight="false" outlineLevel="0" collapsed="false">
      <c r="A96" s="286" t="s">
        <v>132</v>
      </c>
      <c r="B96" s="337"/>
      <c r="C96" s="337" t="str">
        <f aca="false">+VLOOKUP($A96,BASEdades!$A$3:$AA$283,3,FALSE())</f>
        <v>m2</v>
      </c>
      <c r="D96" s="367" t="str">
        <f aca="false">+VLOOKUP($A96,BASEdades!$A$3:$AA$298,2,FALSE())</f>
        <v>Subbase de grava 15cm</v>
      </c>
      <c r="E96" s="338"/>
      <c r="F96" s="338"/>
      <c r="G96" s="338"/>
      <c r="H96" s="340" t="n">
        <f aca="false">+VLOOKUP($A96,BASEdades!$A$3:$AA$283,7,FALSE())</f>
        <v>15.315</v>
      </c>
      <c r="I96" s="340" t="e">
        <f aca="false">#REF!*H96</f>
        <v>#REF!</v>
      </c>
    </row>
    <row r="97" customFormat="false" ht="46.5" hidden="false" customHeight="true" outlineLevel="0" collapsed="false">
      <c r="A97" s="329"/>
      <c r="B97" s="368"/>
      <c r="C97" s="368"/>
      <c r="D97" s="353" t="str">
        <f aca="false">+VLOOKUP($A96,BASEdades!$A$3:$AA$283,4,FALSE())</f>
        <v>Subbase de grava de pedrera de pedra granítica de 15 cm de gruix i, grandària màxima de 50 a 70 mm, amb estesa i piconatge del material.
</v>
      </c>
      <c r="E97" s="341"/>
      <c r="F97" s="341"/>
      <c r="G97" s="341"/>
      <c r="H97" s="344"/>
      <c r="I97" s="370"/>
    </row>
    <row r="98" customFormat="false" ht="14.9" hidden="false" customHeight="false" outlineLevel="0" collapsed="false">
      <c r="A98" s="329"/>
      <c r="B98" s="368"/>
      <c r="C98" s="368"/>
      <c r="D98" s="341" t="str">
        <f aca="false">+VLOOKUP($A96,BASEdades!$A$3:$AA$283,5,FALSE())</f>
        <v>.</v>
      </c>
      <c r="E98" s="341"/>
      <c r="F98" s="341"/>
      <c r="G98" s="341"/>
      <c r="H98" s="344"/>
      <c r="I98" s="370"/>
    </row>
    <row r="99" customFormat="false" ht="13.8" hidden="true" customHeight="false" outlineLevel="0" collapsed="false">
      <c r="A99" s="329"/>
      <c r="B99" s="368"/>
      <c r="C99" s="368"/>
      <c r="D99" s="286" t="s">
        <v>1012</v>
      </c>
      <c r="E99" s="378" t="n">
        <f aca="false">+VLOOKUP($D99,PREUS!$B$1:$F$589,3,FALSE())</f>
        <v>22.39</v>
      </c>
      <c r="F99" s="378" t="str">
        <f aca="false">+VLOOKUP($D99,PREUS!$B$1:$F$589,4,FALSE())</f>
        <v>m3</v>
      </c>
      <c r="G99" s="406" t="n">
        <v>0.15</v>
      </c>
      <c r="H99" s="404" t="n">
        <f aca="false">E99*G99</f>
        <v>3.3585</v>
      </c>
      <c r="I99" s="370"/>
    </row>
    <row r="100" customFormat="false" ht="13.8" hidden="true" customHeight="false" outlineLevel="0" collapsed="false">
      <c r="A100" s="329"/>
      <c r="B100" s="368"/>
      <c r="C100" s="368"/>
      <c r="D100" s="286" t="s">
        <v>1011</v>
      </c>
      <c r="E100" s="378" t="n">
        <f aca="false">+VLOOKUP($D100,PREUS!$B$1:$F$589,3,FALSE())</f>
        <v>3.92</v>
      </c>
      <c r="F100" s="378" t="str">
        <f aca="false">+VLOOKUP($D100,PREUS!$B$1:$F$589,4,FALSE())</f>
        <v>h</v>
      </c>
      <c r="G100" s="406" t="n">
        <v>0.341</v>
      </c>
      <c r="H100" s="404" t="n">
        <f aca="false">E100*G100</f>
        <v>1.33672</v>
      </c>
      <c r="I100" s="370"/>
    </row>
    <row r="101" customFormat="false" ht="13.8" hidden="true" customHeight="false" outlineLevel="0" collapsed="false">
      <c r="A101" s="329"/>
      <c r="B101" s="323"/>
      <c r="C101" s="323"/>
      <c r="D101" s="286" t="s">
        <v>986</v>
      </c>
      <c r="E101" s="378" t="n">
        <f aca="false">+VLOOKUP($D101,PREUS!$B$1:$F$589,3,FALSE())</f>
        <v>25.8</v>
      </c>
      <c r="F101" s="378" t="str">
        <f aca="false">+VLOOKUP($D101,PREUS!$B$1:$F$589,4,FALSE())</f>
        <v>h</v>
      </c>
      <c r="G101" s="406" t="n">
        <v>0.4</v>
      </c>
      <c r="H101" s="404" t="n">
        <f aca="false">E101*G101</f>
        <v>10.32</v>
      </c>
    </row>
    <row r="102" customFormat="false" ht="13.8" hidden="true" customHeight="false" outlineLevel="0" collapsed="false">
      <c r="B102" s="323"/>
      <c r="C102" s="323"/>
      <c r="D102" s="286" t="s">
        <v>987</v>
      </c>
      <c r="E102" s="379" t="n">
        <f aca="false">SUM(H99:H101)</f>
        <v>15.01522</v>
      </c>
      <c r="F102" s="403" t="s">
        <v>988</v>
      </c>
      <c r="G102" s="405" t="n">
        <v>0.02</v>
      </c>
      <c r="H102" s="404" t="n">
        <f aca="false">E102*G102</f>
        <v>0.3003044</v>
      </c>
    </row>
    <row r="103" s="277" customFormat="true" ht="13.8" hidden="false" customHeight="false" outlineLevel="0" collapsed="false">
      <c r="A103" s="354"/>
      <c r="B103" s="355"/>
      <c r="C103" s="355"/>
      <c r="D103" s="351"/>
      <c r="E103" s="352"/>
      <c r="F103" s="352"/>
      <c r="G103" s="352"/>
      <c r="H103" s="358"/>
      <c r="I103" s="279"/>
      <c r="M103" s="0"/>
      <c r="N103" s="0"/>
    </row>
    <row r="104" customFormat="false" ht="13.8" hidden="false" customHeight="false" outlineLevel="0" collapsed="false">
      <c r="A104" s="286" t="s">
        <v>135</v>
      </c>
      <c r="B104" s="337"/>
      <c r="C104" s="337" t="str">
        <f aca="false">+VLOOKUP($A104,BASEdades!$A$3:$AA$283,3,FALSE())</f>
        <v>m2</v>
      </c>
      <c r="D104" s="367" t="str">
        <f aca="false">+VLOOKUP($A104,BASEdades!$A$3:$AA$298,2,FALSE())</f>
        <v>Làmina separadora polietilè</v>
      </c>
      <c r="E104" s="338"/>
      <c r="F104" s="338"/>
      <c r="G104" s="338"/>
      <c r="H104" s="340" t="n">
        <f aca="false">+VLOOKUP($A104,BASEdades!$A$3:$AA$283,7,FALSE())</f>
        <v>2.3</v>
      </c>
      <c r="I104" s="340" t="e">
        <f aca="false">#REF!*H104</f>
        <v>#REF!</v>
      </c>
    </row>
    <row r="105" customFormat="false" ht="28.35" hidden="false" customHeight="false" outlineLevel="0" collapsed="false">
      <c r="A105" s="329"/>
      <c r="B105" s="368"/>
      <c r="C105" s="368"/>
      <c r="D105" s="353" t="str">
        <f aca="false">+VLOOKUP($A104,BASEdades!$A$3:$AA$283,4,FALSE())</f>
        <v>Làmina separadora de polietilè de 150 μm i 144 g/m2, col·locada no adherida</v>
      </c>
      <c r="E105" s="341"/>
      <c r="F105" s="341"/>
      <c r="G105" s="341"/>
      <c r="H105" s="344"/>
      <c r="I105" s="370"/>
    </row>
    <row r="106" customFormat="false" ht="14.9" hidden="false" customHeight="false" outlineLevel="0" collapsed="false">
      <c r="A106" s="329"/>
      <c r="B106" s="368"/>
      <c r="C106" s="368"/>
      <c r="D106" s="341" t="str">
        <f aca="false">+VLOOKUP($A104,BASEdades!$A$3:$AA$283,5,FALSE())</f>
        <v>.</v>
      </c>
      <c r="E106" s="341"/>
      <c r="F106" s="341"/>
      <c r="G106" s="341"/>
      <c r="H106" s="344"/>
      <c r="I106" s="370"/>
    </row>
    <row r="107" customFormat="false" ht="13.8" hidden="true" customHeight="false" outlineLevel="0" collapsed="false">
      <c r="A107" s="329"/>
      <c r="B107" s="368"/>
      <c r="C107" s="368"/>
      <c r="D107" s="286" t="s">
        <v>1013</v>
      </c>
      <c r="E107" s="378" t="n">
        <f aca="false">+VLOOKUP($D107,PREUS!$B$1:$F$589,3,FALSE())</f>
        <v>0.57</v>
      </c>
      <c r="F107" s="378" t="str">
        <f aca="false">+VLOOKUP($D107,PREUS!$B$1:$F$589,4,FALSE())</f>
        <v>m2</v>
      </c>
      <c r="G107" s="406" t="n">
        <v>1.15</v>
      </c>
      <c r="H107" s="404" t="n">
        <f aca="false">E107*G107</f>
        <v>0.6555</v>
      </c>
      <c r="I107" s="370"/>
    </row>
    <row r="108" customFormat="false" ht="13.8" hidden="true" customHeight="false" outlineLevel="0" collapsed="false">
      <c r="A108" s="329"/>
      <c r="B108" s="368"/>
      <c r="C108" s="368"/>
      <c r="D108" s="286" t="s">
        <v>989</v>
      </c>
      <c r="E108" s="378" t="n">
        <f aca="false">+VLOOKUP($D108,PREUS!$B$1:$F$589,3,FALSE())</f>
        <v>30.79</v>
      </c>
      <c r="F108" s="378" t="str">
        <f aca="false">+VLOOKUP($D108,PREUS!$B$1:$F$589,4,FALSE())</f>
        <v>h</v>
      </c>
      <c r="G108" s="406" t="n">
        <v>0.0353</v>
      </c>
      <c r="H108" s="404" t="n">
        <f aca="false">E108*G108</f>
        <v>1.086887</v>
      </c>
      <c r="I108" s="370"/>
    </row>
    <row r="109" customFormat="false" ht="13.8" hidden="true" customHeight="false" outlineLevel="0" collapsed="false">
      <c r="A109" s="329"/>
      <c r="B109" s="323"/>
      <c r="C109" s="323"/>
      <c r="D109" s="286" t="s">
        <v>986</v>
      </c>
      <c r="E109" s="378" t="n">
        <f aca="false">+VLOOKUP($D109,PREUS!$B$1:$F$589,3,FALSE())</f>
        <v>25.8</v>
      </c>
      <c r="F109" s="378" t="str">
        <f aca="false">+VLOOKUP($D109,PREUS!$B$1:$F$589,4,FALSE())</f>
        <v>h</v>
      </c>
      <c r="G109" s="406" t="n">
        <v>0.02</v>
      </c>
      <c r="H109" s="404" t="n">
        <f aca="false">E109*G109</f>
        <v>0.516</v>
      </c>
    </row>
    <row r="110" customFormat="false" ht="13.8" hidden="true" customHeight="false" outlineLevel="0" collapsed="false">
      <c r="B110" s="323"/>
      <c r="C110" s="323"/>
      <c r="D110" s="286" t="s">
        <v>987</v>
      </c>
      <c r="E110" s="379" t="n">
        <f aca="false">SUM(H107:H109)</f>
        <v>2.258387</v>
      </c>
      <c r="F110" s="403" t="s">
        <v>988</v>
      </c>
      <c r="G110" s="405" t="n">
        <v>0.02</v>
      </c>
      <c r="H110" s="404" t="n">
        <f aca="false">E110*G110</f>
        <v>0.04516774</v>
      </c>
    </row>
    <row r="111" customFormat="false" ht="13.8" hidden="false" customHeight="false" outlineLevel="0" collapsed="false">
      <c r="A111" s="329"/>
      <c r="B111" s="323"/>
      <c r="C111" s="323"/>
      <c r="D111" s="350"/>
      <c r="E111" s="348"/>
      <c r="F111" s="348"/>
      <c r="G111" s="348"/>
      <c r="H111" s="349"/>
    </row>
    <row r="112" customFormat="false" ht="13.8" hidden="false" customHeight="false" outlineLevel="0" collapsed="false">
      <c r="A112" s="286" t="s">
        <v>117</v>
      </c>
      <c r="B112" s="337"/>
      <c r="C112" s="337" t="str">
        <f aca="false">+VLOOKUP($A112,BASEdades!$A$3:$AA$283,3,FALSE())</f>
        <v>m2</v>
      </c>
      <c r="D112" s="367" t="str">
        <f aca="false">+VLOOKUP($A112,BASEdades!$A$3:$AA$298,2,FALSE())</f>
        <v>Solera de formigó amb acabat raspatllat</v>
      </c>
      <c r="E112" s="338"/>
      <c r="F112" s="338"/>
      <c r="G112" s="338"/>
      <c r="H112" s="340" t="n">
        <f aca="false">+VLOOKUP($A112,BASEdades!$A$3:$AA$283,7,FALSE())</f>
        <v>35.12</v>
      </c>
      <c r="I112" s="340" t="e">
        <f aca="false">#REF!*H112</f>
        <v>#REF!</v>
      </c>
    </row>
    <row r="113" customFormat="false" ht="108.95" hidden="false" customHeight="false" outlineLevel="0" collapsed="false">
      <c r="A113" s="329"/>
      <c r="B113" s="368"/>
      <c r="C113" s="368"/>
      <c r="D113" s="353" t="str">
        <f aca="false">+VLOOKUP($A112,BASEdades!$A$3:$AA$283,4,FALSE())</f>
        <v>Paviment de formigó amb fibres de polipropilè monofilamentoses, amb aditiu, per a paviment continu i rampes, de 15 cm de gruix, tipus HAF-30/F/12/IIa+E, amb fibres sintètiques amb una quantia de 600 gr/m³, abocat des de camió o qualsevol altre mitjà alternatiu, mestrejat i acabat amb regle vibrat i posterior raspatllat per deixar la textura indicada per la DF. Inclou armadura interior tipus AP500SD amb malla electrosoldada ME 15x15 cm D:6-6 mm B500SD UNE-EN 10080</v>
      </c>
      <c r="E113" s="341"/>
      <c r="F113" s="341"/>
      <c r="G113" s="341"/>
      <c r="H113" s="344"/>
      <c r="I113" s="370"/>
    </row>
    <row r="114" customFormat="false" ht="14.9" hidden="false" customHeight="false" outlineLevel="0" collapsed="false">
      <c r="A114" s="329"/>
      <c r="B114" s="368"/>
      <c r="C114" s="368"/>
      <c r="D114" s="341" t="str">
        <f aca="false">+VLOOKUP($A112,BASEdades!$A$3:$AA$283,5,FALSE())</f>
        <v>.</v>
      </c>
      <c r="E114" s="341"/>
      <c r="F114" s="341"/>
      <c r="G114" s="341"/>
      <c r="H114" s="344"/>
      <c r="I114" s="370"/>
    </row>
    <row r="115" customFormat="false" ht="13.8" hidden="true" customHeight="false" outlineLevel="0" collapsed="false">
      <c r="A115" s="329"/>
      <c r="B115" s="368"/>
      <c r="C115" s="368"/>
      <c r="D115" s="286" t="s">
        <v>1014</v>
      </c>
      <c r="E115" s="378" t="n">
        <f aca="false">+VLOOKUP($D115,PREUS!$B$1:$F$589,3,FALSE())</f>
        <v>2.52</v>
      </c>
      <c r="F115" s="378" t="str">
        <f aca="false">+VLOOKUP($D115,PREUS!$B$1:$F$589,4,FALSE())</f>
        <v>m2</v>
      </c>
      <c r="G115" s="406" t="n">
        <v>1</v>
      </c>
      <c r="H115" s="404" t="n">
        <f aca="false">E115*G115</f>
        <v>2.52</v>
      </c>
      <c r="I115" s="370"/>
    </row>
    <row r="116" customFormat="false" ht="13.8" hidden="true" customHeight="false" outlineLevel="0" collapsed="false">
      <c r="A116" s="329"/>
      <c r="B116" s="368"/>
      <c r="C116" s="368"/>
      <c r="D116" s="286" t="s">
        <v>996</v>
      </c>
      <c r="E116" s="378" t="n">
        <f aca="false">+VLOOKUP($D116,PREUS!$B$1:$F$589,3,FALSE())</f>
        <v>92.2</v>
      </c>
      <c r="F116" s="378" t="str">
        <f aca="false">+VLOOKUP($D116,PREUS!$B$1:$F$589,4,FALSE())</f>
        <v>m3</v>
      </c>
      <c r="G116" s="406" t="n">
        <v>0.15</v>
      </c>
      <c r="H116" s="404" t="n">
        <f aca="false">E116*G116</f>
        <v>13.83</v>
      </c>
      <c r="I116" s="370"/>
    </row>
    <row r="117" customFormat="false" ht="13.8" hidden="true" customHeight="false" outlineLevel="0" collapsed="false">
      <c r="A117" s="329"/>
      <c r="B117" s="323"/>
      <c r="C117" s="323"/>
      <c r="D117" s="286" t="s">
        <v>1015</v>
      </c>
      <c r="E117" s="378" t="n">
        <f aca="false">+VLOOKUP($D117,PREUS!$B$1:$F$589,3,FALSE())</f>
        <v>5.23</v>
      </c>
      <c r="F117" s="378" t="str">
        <f aca="false">+VLOOKUP($D117,PREUS!$B$1:$F$589,4,FALSE())</f>
        <v>h</v>
      </c>
      <c r="G117" s="406" t="n">
        <v>0.105</v>
      </c>
      <c r="H117" s="404" t="n">
        <f aca="false">E117*G117</f>
        <v>0.54915</v>
      </c>
    </row>
    <row r="118" customFormat="false" ht="13.8" hidden="true" customHeight="false" outlineLevel="0" collapsed="false">
      <c r="A118" s="329"/>
      <c r="B118" s="323"/>
      <c r="C118" s="323"/>
      <c r="D118" s="286" t="s">
        <v>1016</v>
      </c>
      <c r="E118" s="378" t="n">
        <f aca="false">+VLOOKUP($D118,PREUS!$B$1:$F$589,3,FALSE())</f>
        <v>5.68</v>
      </c>
      <c r="F118" s="378" t="str">
        <f aca="false">+VLOOKUP($D118,PREUS!$B$1:$F$589,4,FALSE())</f>
        <v>h</v>
      </c>
      <c r="G118" s="406" t="n">
        <v>0.13</v>
      </c>
      <c r="H118" s="404" t="n">
        <f aca="false">E118*G118</f>
        <v>0.7384</v>
      </c>
    </row>
    <row r="119" customFormat="false" ht="13.8" hidden="true" customHeight="false" outlineLevel="0" collapsed="false">
      <c r="A119" s="329"/>
      <c r="B119" s="323"/>
      <c r="C119" s="323"/>
      <c r="D119" s="408" t="s">
        <v>989</v>
      </c>
      <c r="E119" s="378" t="n">
        <f aca="false">+VLOOKUP($D119,PREUS!$B$1:$F$589,3,FALSE())</f>
        <v>30.79</v>
      </c>
      <c r="F119" s="378" t="str">
        <f aca="false">+VLOOKUP($D119,PREUS!$B$1:$F$589,4,FALSE())</f>
        <v>h</v>
      </c>
      <c r="G119" s="406" t="n">
        <v>0.2</v>
      </c>
      <c r="H119" s="404" t="n">
        <f aca="false">E119*G119</f>
        <v>6.158</v>
      </c>
    </row>
    <row r="120" customFormat="false" ht="13.8" hidden="true" customHeight="false" outlineLevel="0" collapsed="false">
      <c r="A120" s="329"/>
      <c r="B120" s="323"/>
      <c r="C120" s="323"/>
      <c r="D120" s="286" t="s">
        <v>986</v>
      </c>
      <c r="E120" s="378" t="n">
        <f aca="false">+VLOOKUP($D120,PREUS!$B$1:$F$589,3,FALSE())</f>
        <v>25.8</v>
      </c>
      <c r="F120" s="378" t="str">
        <f aca="false">+VLOOKUP($D120,PREUS!$B$1:$F$589,4,FALSE())</f>
        <v>h</v>
      </c>
      <c r="G120" s="406" t="n">
        <v>0.2</v>
      </c>
      <c r="H120" s="404" t="n">
        <f aca="false">E120*G120</f>
        <v>5.16</v>
      </c>
    </row>
    <row r="121" customFormat="false" ht="13.8" hidden="true" customHeight="false" outlineLevel="0" collapsed="false">
      <c r="A121" s="329"/>
      <c r="B121" s="323"/>
      <c r="C121" s="323"/>
      <c r="D121" s="286" t="s">
        <v>991</v>
      </c>
      <c r="E121" s="378" t="n">
        <f aca="false">+VLOOKUP($D121,PREUS!$B$1:$F$589,3,FALSE())</f>
        <v>27.39</v>
      </c>
      <c r="F121" s="378" t="str">
        <f aca="false">+VLOOKUP($D121,PREUS!$B$1:$F$589,4,FALSE())</f>
        <v>h</v>
      </c>
      <c r="G121" s="406" t="n">
        <v>0.2</v>
      </c>
      <c r="H121" s="404" t="n">
        <f aca="false">E121*G121</f>
        <v>5.478</v>
      </c>
    </row>
    <row r="122" customFormat="false" ht="13.8" hidden="true" customHeight="false" outlineLevel="0" collapsed="false">
      <c r="B122" s="323"/>
      <c r="C122" s="323"/>
      <c r="D122" s="286" t="s">
        <v>987</v>
      </c>
      <c r="E122" s="379" t="n">
        <f aca="false">SUM(H115:H121)</f>
        <v>34.43355</v>
      </c>
      <c r="F122" s="403" t="s">
        <v>988</v>
      </c>
      <c r="G122" s="405" t="n">
        <v>0.02</v>
      </c>
      <c r="H122" s="404" t="n">
        <f aca="false">E122*G122</f>
        <v>0.688671</v>
      </c>
    </row>
    <row r="123" s="277" customFormat="true" ht="13.8" hidden="false" customHeight="false" outlineLevel="0" collapsed="false">
      <c r="A123" s="354"/>
      <c r="B123" s="355"/>
      <c r="C123" s="355"/>
      <c r="D123" s="351"/>
      <c r="E123" s="352"/>
      <c r="F123" s="352"/>
      <c r="G123" s="352"/>
      <c r="H123" s="358"/>
      <c r="I123" s="279"/>
      <c r="M123" s="0"/>
      <c r="N123" s="0"/>
    </row>
    <row r="124" customFormat="false" ht="13.8" hidden="false" customHeight="false" outlineLevel="0" collapsed="false">
      <c r="A124" s="286" t="s">
        <v>154</v>
      </c>
      <c r="B124" s="337"/>
      <c r="C124" s="337" t="str">
        <f aca="false">+VLOOKUP($A124,BASEdades!$A$3:$AA$283,3,FALSE())</f>
        <v>m2</v>
      </c>
      <c r="D124" s="367" t="str">
        <f aca="false">+VLOOKUP($A124,BASEdades!$A$3:$AA$298,2,FALSE())</f>
        <v>Paviment exterior formigó abuixardat</v>
      </c>
      <c r="E124" s="338"/>
      <c r="F124" s="338"/>
      <c r="G124" s="338"/>
      <c r="H124" s="340" t="n">
        <f aca="false">+VLOOKUP($A124,BASEdades!$A$3:$AA$283,7,FALSE())</f>
        <v>52.02</v>
      </c>
      <c r="I124" s="340" t="e">
        <f aca="false">#REF!*H124</f>
        <v>#REF!</v>
      </c>
    </row>
    <row r="125" customFormat="false" ht="82.05" hidden="false" customHeight="false" outlineLevel="0" collapsed="false">
      <c r="A125" s="329"/>
      <c r="B125" s="368"/>
      <c r="C125" s="368"/>
      <c r="D125" s="353" t="str">
        <f aca="false">+VLOOKUP($A124,BASEdades!$A$3:$AA$283,4,FALSE())</f>
        <v>Paviment exterior de peces prefabricades de formigó abuixardat, monocapa, , 40x60x7 cm, color blanc, resistència a flexió T, càrrega de ruptura 4, resistència al desgast H, col·locades picat de pitxell amb morter de ciment M-5 de 3 cm de gruix, deixant entre elles un junt de separació d'entre 1,5 i 3 mm. Inclús reomplert de junts amb sorra silícia de mida 0/2 mm</v>
      </c>
      <c r="E125" s="341"/>
      <c r="F125" s="341"/>
      <c r="G125" s="341"/>
      <c r="H125" s="344"/>
      <c r="I125" s="370"/>
    </row>
    <row r="126" customFormat="false" ht="14.9" hidden="false" customHeight="false" outlineLevel="0" collapsed="false">
      <c r="A126" s="329"/>
      <c r="B126" s="368"/>
      <c r="C126" s="368"/>
      <c r="D126" s="341" t="str">
        <f aca="false">+VLOOKUP($A124,BASEdades!$A$3:$AA$283,5,FALSE())</f>
        <v>.</v>
      </c>
      <c r="E126" s="341"/>
      <c r="F126" s="341"/>
      <c r="G126" s="341"/>
      <c r="H126" s="344"/>
      <c r="I126" s="370"/>
    </row>
    <row r="127" customFormat="false" ht="13.8" hidden="true" customHeight="false" outlineLevel="0" collapsed="false">
      <c r="A127" s="329"/>
      <c r="B127" s="368"/>
      <c r="C127" s="368"/>
      <c r="D127" s="286" t="s">
        <v>1017</v>
      </c>
      <c r="E127" s="378" t="n">
        <f aca="false">+VLOOKUP($D127,PREUS!$B$1:$F$589,3,FALSE())</f>
        <v>115.3</v>
      </c>
      <c r="F127" s="378" t="str">
        <f aca="false">+VLOOKUP($D127,PREUS!$B$1:$F$589,4,FALSE())</f>
        <v>m3</v>
      </c>
      <c r="G127" s="406" t="n">
        <v>0.03</v>
      </c>
      <c r="H127" s="404" t="n">
        <f aca="false">E127*G127</f>
        <v>3.459</v>
      </c>
      <c r="I127" s="370"/>
    </row>
    <row r="128" customFormat="false" ht="13.8" hidden="true" customHeight="false" outlineLevel="0" collapsed="false">
      <c r="A128" s="329"/>
      <c r="B128" s="368"/>
      <c r="C128" s="368"/>
      <c r="D128" s="286" t="s">
        <v>1018</v>
      </c>
      <c r="E128" s="378" t="n">
        <f aca="false">+VLOOKUP($D128,PREUS!$B$1:$F$589,3,FALSE())</f>
        <v>0.35</v>
      </c>
      <c r="F128" s="378" t="str">
        <f aca="false">+VLOOKUP($D128,PREUS!$B$1:$F$589,4,FALSE())</f>
        <v>kg</v>
      </c>
      <c r="G128" s="406" t="n">
        <v>0.3</v>
      </c>
      <c r="H128" s="404" t="n">
        <f aca="false">E128*G128</f>
        <v>0.105</v>
      </c>
      <c r="I128" s="370"/>
    </row>
    <row r="129" customFormat="false" ht="13.8" hidden="true" customHeight="false" outlineLevel="0" collapsed="false">
      <c r="A129" s="329"/>
      <c r="B129" s="323"/>
      <c r="C129" s="323"/>
      <c r="D129" s="286" t="s">
        <v>1019</v>
      </c>
      <c r="E129" s="378" t="n">
        <f aca="false">+VLOOKUP($D129,PREUS!$B$1:$F$589,3,FALSE())</f>
        <v>18.35</v>
      </c>
      <c r="F129" s="378" t="str">
        <f aca="false">+VLOOKUP($D129,PREUS!$B$1:$F$589,4,FALSE())</f>
        <v>m2</v>
      </c>
      <c r="G129" s="406" t="n">
        <v>1</v>
      </c>
      <c r="H129" s="404" t="n">
        <f aca="false">E129*G129</f>
        <v>18.35</v>
      </c>
    </row>
    <row r="130" customFormat="false" ht="13.8" hidden="true" customHeight="false" outlineLevel="0" collapsed="false">
      <c r="A130" s="329"/>
      <c r="B130" s="323"/>
      <c r="C130" s="323"/>
      <c r="D130" s="286" t="s">
        <v>989</v>
      </c>
      <c r="E130" s="378" t="n">
        <f aca="false">+VLOOKUP($D130,PREUS!$B$1:$F$589,3,FALSE())</f>
        <v>30.79</v>
      </c>
      <c r="F130" s="378" t="str">
        <f aca="false">+VLOOKUP($D130,PREUS!$B$1:$F$589,4,FALSE())</f>
        <v>h</v>
      </c>
      <c r="G130" s="406" t="n">
        <v>0.5</v>
      </c>
      <c r="H130" s="404" t="n">
        <f aca="false">E130*G130</f>
        <v>15.395</v>
      </c>
    </row>
    <row r="131" customFormat="false" ht="13.8" hidden="true" customHeight="false" outlineLevel="0" collapsed="false">
      <c r="A131" s="329"/>
      <c r="B131" s="323"/>
      <c r="C131" s="323"/>
      <c r="D131" s="286" t="s">
        <v>991</v>
      </c>
      <c r="E131" s="378" t="n">
        <f aca="false">+VLOOKUP($D131,PREUS!$B$1:$F$589,3,FALSE())</f>
        <v>27.39</v>
      </c>
      <c r="F131" s="378" t="str">
        <f aca="false">+VLOOKUP($D131,PREUS!$B$1:$F$589,4,FALSE())</f>
        <v>h</v>
      </c>
      <c r="G131" s="406" t="n">
        <v>0.5</v>
      </c>
      <c r="H131" s="404" t="n">
        <f aca="false">E131*G131</f>
        <v>13.695</v>
      </c>
    </row>
    <row r="132" customFormat="false" ht="13.8" hidden="true" customHeight="false" outlineLevel="0" collapsed="false">
      <c r="B132" s="323"/>
      <c r="C132" s="323"/>
      <c r="D132" s="286" t="s">
        <v>987</v>
      </c>
      <c r="E132" s="379" t="n">
        <f aca="false">SUM(H127:H131)</f>
        <v>51.004</v>
      </c>
      <c r="F132" s="403" t="s">
        <v>988</v>
      </c>
      <c r="G132" s="405" t="n">
        <v>0.02</v>
      </c>
      <c r="H132" s="404" t="n">
        <f aca="false">E132*G132</f>
        <v>1.02008</v>
      </c>
    </row>
    <row r="133" customFormat="false" ht="13.8" hidden="false" customHeight="false" outlineLevel="0" collapsed="false">
      <c r="A133" s="329"/>
      <c r="B133" s="323"/>
      <c r="C133" s="323"/>
      <c r="D133" s="350"/>
      <c r="E133" s="348"/>
      <c r="F133" s="348"/>
      <c r="G133" s="348"/>
      <c r="H133" s="349"/>
    </row>
    <row r="134" customFormat="false" ht="13.8" hidden="false" customHeight="false" outlineLevel="0" collapsed="false">
      <c r="A134" s="286" t="s">
        <v>111</v>
      </c>
      <c r="B134" s="337"/>
      <c r="C134" s="337" t="str">
        <f aca="false">+VLOOKUP($A134,BASEdades!$A$3:$AA$283,3,FALSE())</f>
        <v>m2</v>
      </c>
      <c r="D134" s="367" t="str">
        <f aca="false">+VLOOKUP($A134,BASEdades!$A$3:$AA$298,2,FALSE())</f>
        <v>Mur de bloc a una cara vista</v>
      </c>
      <c r="E134" s="338"/>
      <c r="F134" s="338"/>
      <c r="G134" s="338"/>
      <c r="H134" s="340" t="n">
        <f aca="false">+VLOOKUP($A134,BASEdades!$A$3:$AA$283,7,FALSE())</f>
        <v>77</v>
      </c>
      <c r="I134" s="340" t="e">
        <f aca="false">#REF!*H134</f>
        <v>#REF!</v>
      </c>
    </row>
    <row r="135" customFormat="false" ht="48.75" hidden="false" customHeight="true" outlineLevel="0" collapsed="false">
      <c r="A135" s="329"/>
      <c r="B135" s="368"/>
      <c r="C135" s="368"/>
      <c r="D135" s="353" t="str">
        <f aca="false">+VLOOKUP($A134,BASEdades!$A$3:$AA$283,4,FALSE())</f>
        <v>Mur de contenció de terres de 20 cm d'espessor de fàbrica, de bloc de formigó tipus "H", de càrrega, per anar vist, color gris, 50x20x20 cm, categoria I, resistència normalitzada R10 (10 N/mm²), amb els junts verticals encadellats en sec i els junts horitzontals amb morter de ciment industrial, color gris, M-7,5, subministrat a granel, amb blocs de cantonada, reforçat amb formigó de replè, HA-25/B/12/XC2, preparat en obra, abocament amb mitjans manuals, i armadura d'acer UNE-EN 10080 B 400 S, amb una quantia aproximada de 20 kg/m². Inclús tubs de PVC per drenatge i filferro de lligar.
</v>
      </c>
      <c r="E135" s="341"/>
      <c r="F135" s="341"/>
      <c r="G135" s="341"/>
      <c r="H135" s="344"/>
      <c r="I135" s="370"/>
    </row>
    <row r="136" customFormat="false" ht="14.9" hidden="false" customHeight="false" outlineLevel="0" collapsed="false">
      <c r="A136" s="329"/>
      <c r="B136" s="368"/>
      <c r="C136" s="368"/>
      <c r="D136" s="341" t="str">
        <f aca="false">+VLOOKUP($A134,BASEdades!$A$3:$AA$283,5,FALSE())</f>
        <v>.</v>
      </c>
      <c r="E136" s="341"/>
      <c r="F136" s="341"/>
      <c r="G136" s="341"/>
      <c r="H136" s="344"/>
      <c r="I136" s="370"/>
    </row>
    <row r="137" customFormat="false" ht="13.8" hidden="true" customHeight="false" outlineLevel="0" collapsed="false">
      <c r="A137" s="329"/>
      <c r="B137" s="368"/>
      <c r="C137" s="368"/>
      <c r="D137" s="286" t="s">
        <v>1020</v>
      </c>
      <c r="E137" s="378" t="n">
        <f aca="false">+VLOOKUP($D137,PREUS!$B$1:$F$589,3,FALSE())</f>
        <v>0.91</v>
      </c>
      <c r="F137" s="378" t="str">
        <f aca="false">+VLOOKUP($D137,PREUS!$B$1:$F$589,4,FALSE())</f>
        <v>u</v>
      </c>
      <c r="G137" s="406" t="n">
        <v>12.128</v>
      </c>
      <c r="H137" s="404" t="n">
        <f aca="false">E137*G137</f>
        <v>11.03648</v>
      </c>
      <c r="I137" s="370"/>
    </row>
    <row r="138" customFormat="false" ht="13.8" hidden="true" customHeight="false" outlineLevel="0" collapsed="false">
      <c r="A138" s="329"/>
      <c r="B138" s="368"/>
      <c r="C138" s="368"/>
      <c r="D138" s="286" t="s">
        <v>1021</v>
      </c>
      <c r="E138" s="378" t="n">
        <f aca="false">+VLOOKUP($D138,PREUS!$B$1:$F$589,3,FALSE())</f>
        <v>1.5</v>
      </c>
      <c r="F138" s="378" t="str">
        <f aca="false">+VLOOKUP($D138,PREUS!$B$1:$F$589,4,FALSE())</f>
        <v>m3</v>
      </c>
      <c r="G138" s="406" t="n">
        <v>0.009</v>
      </c>
      <c r="H138" s="404" t="n">
        <f aca="false">E138*G138</f>
        <v>0.0135</v>
      </c>
      <c r="I138" s="370"/>
    </row>
    <row r="139" customFormat="false" ht="13.8" hidden="true" customHeight="false" outlineLevel="0" collapsed="false">
      <c r="A139" s="329"/>
      <c r="B139" s="368"/>
      <c r="C139" s="368"/>
      <c r="D139" s="286" t="s">
        <v>997</v>
      </c>
      <c r="E139" s="378" t="n">
        <f aca="false">+VLOOKUP($D139,PREUS!$B$1:$F$589,3,FALSE())</f>
        <v>1.6</v>
      </c>
      <c r="F139" s="378" t="str">
        <f aca="false">+VLOOKUP($D139,PREUS!$B$1:$F$589,4,FALSE())</f>
        <v>kg</v>
      </c>
      <c r="G139" s="406" t="n">
        <v>5</v>
      </c>
      <c r="H139" s="404" t="n">
        <f aca="false">E139*G139</f>
        <v>8</v>
      </c>
      <c r="I139" s="370"/>
    </row>
    <row r="140" customFormat="false" ht="13.8" hidden="true" customHeight="false" outlineLevel="0" collapsed="false">
      <c r="A140" s="329"/>
      <c r="B140" s="323"/>
      <c r="C140" s="323"/>
      <c r="D140" s="286" t="s">
        <v>1022</v>
      </c>
      <c r="E140" s="378" t="n">
        <f aca="false">+VLOOKUP($D140,PREUS!$B$1:$F$589,3,FALSE())</f>
        <v>50.2</v>
      </c>
      <c r="F140" s="378" t="str">
        <f aca="false">+VLOOKUP($D140,PREUS!$B$1:$F$589,4,FALSE())</f>
        <v>t</v>
      </c>
      <c r="G140" s="406" t="n">
        <v>0.03</v>
      </c>
      <c r="H140" s="404" t="n">
        <f aca="false">E140*G140</f>
        <v>1.506</v>
      </c>
    </row>
    <row r="141" customFormat="false" ht="13.8" hidden="true" customHeight="false" outlineLevel="0" collapsed="false">
      <c r="A141" s="329"/>
      <c r="B141" s="323"/>
      <c r="C141" s="323"/>
      <c r="D141" s="286" t="s">
        <v>1023</v>
      </c>
      <c r="E141" s="378" t="n">
        <f aca="false">+VLOOKUP($D141,PREUS!$B$1:$F$589,3,FALSE())</f>
        <v>3.45</v>
      </c>
      <c r="F141" s="378" t="str">
        <f aca="false">+VLOOKUP($D141,PREUS!$B$1:$F$589,4,FALSE())</f>
        <v>h</v>
      </c>
      <c r="G141" s="406" t="n">
        <v>0.1</v>
      </c>
      <c r="H141" s="404" t="n">
        <f aca="false">E141*G141</f>
        <v>0.345</v>
      </c>
    </row>
    <row r="142" customFormat="false" ht="13.8" hidden="true" customHeight="false" outlineLevel="0" collapsed="false">
      <c r="A142" s="329"/>
      <c r="B142" s="323"/>
      <c r="C142" s="323"/>
      <c r="D142" s="286" t="s">
        <v>1024</v>
      </c>
      <c r="E142" s="378" t="n">
        <f aca="false">+VLOOKUP($D142,PREUS!$B$1:$F$589,3,FALSE())</f>
        <v>1.94</v>
      </c>
      <c r="F142" s="378" t="str">
        <f aca="false">+VLOOKUP($D142,PREUS!$B$1:$F$589,4,FALSE())</f>
        <v>h</v>
      </c>
      <c r="G142" s="406" t="n">
        <v>0.1</v>
      </c>
      <c r="H142" s="404" t="n">
        <f aca="false">E142*G142</f>
        <v>0.194</v>
      </c>
    </row>
    <row r="143" customFormat="false" ht="13.8" hidden="true" customHeight="false" outlineLevel="0" collapsed="false">
      <c r="A143" s="329"/>
      <c r="B143" s="323"/>
      <c r="C143" s="323"/>
      <c r="D143" s="286" t="s">
        <v>998</v>
      </c>
      <c r="E143" s="378" t="n">
        <f aca="false">+VLOOKUP($D143,PREUS!$B$1:$F$589,3,FALSE())</f>
        <v>30.76</v>
      </c>
      <c r="F143" s="378" t="str">
        <f aca="false">+VLOOKUP($D143,PREUS!$B$1:$F$589,4,FALSE())</f>
        <v>h</v>
      </c>
      <c r="G143" s="406" t="n">
        <v>0.15</v>
      </c>
      <c r="H143" s="404" t="n">
        <f aca="false">E143*G143</f>
        <v>4.614</v>
      </c>
    </row>
    <row r="144" customFormat="false" ht="13.8" hidden="true" customHeight="false" outlineLevel="0" collapsed="false">
      <c r="A144" s="329"/>
      <c r="B144" s="323"/>
      <c r="C144" s="323"/>
      <c r="D144" s="286" t="s">
        <v>999</v>
      </c>
      <c r="E144" s="378" t="n">
        <f aca="false">+VLOOKUP($D144,PREUS!$B$1:$F$589,3,FALSE())</f>
        <v>27.36</v>
      </c>
      <c r="F144" s="378" t="str">
        <f aca="false">+VLOOKUP($D144,PREUS!$B$1:$F$589,4,FALSE())</f>
        <v>h</v>
      </c>
      <c r="G144" s="406" t="n">
        <v>0.15</v>
      </c>
      <c r="H144" s="404" t="n">
        <f aca="false">E144*G144</f>
        <v>4.104</v>
      </c>
    </row>
    <row r="145" customFormat="false" ht="13.8" hidden="true" customHeight="false" outlineLevel="0" collapsed="false">
      <c r="A145" s="329"/>
      <c r="B145" s="323"/>
      <c r="C145" s="323"/>
      <c r="D145" s="286" t="s">
        <v>989</v>
      </c>
      <c r="E145" s="378" t="n">
        <f aca="false">+VLOOKUP($D145,PREUS!$B$1:$F$589,3,FALSE())</f>
        <v>30.79</v>
      </c>
      <c r="F145" s="378" t="str">
        <f aca="false">+VLOOKUP($D145,PREUS!$B$1:$F$589,4,FALSE())</f>
        <v>h</v>
      </c>
      <c r="G145" s="406" t="n">
        <v>0.9</v>
      </c>
      <c r="H145" s="404" t="n">
        <f aca="false">E145*G145</f>
        <v>27.711</v>
      </c>
    </row>
    <row r="146" customFormat="false" ht="13.8" hidden="true" customHeight="false" outlineLevel="0" collapsed="false">
      <c r="A146" s="329"/>
      <c r="B146" s="323"/>
      <c r="C146" s="323"/>
      <c r="D146" s="286" t="s">
        <v>991</v>
      </c>
      <c r="E146" s="378" t="n">
        <f aca="false">+VLOOKUP($D146,PREUS!$B$1:$F$589,3,FALSE())</f>
        <v>27.39</v>
      </c>
      <c r="F146" s="378" t="str">
        <f aca="false">+VLOOKUP($D146,PREUS!$B$1:$F$589,4,FALSE())</f>
        <v>h</v>
      </c>
      <c r="G146" s="406" t="n">
        <v>0.656</v>
      </c>
      <c r="H146" s="404" t="n">
        <f aca="false">E146*G146</f>
        <v>17.96784</v>
      </c>
    </row>
    <row r="147" customFormat="false" ht="13.8" hidden="true" customHeight="false" outlineLevel="0" collapsed="false">
      <c r="B147" s="323"/>
      <c r="C147" s="323"/>
      <c r="D147" s="286" t="s">
        <v>987</v>
      </c>
      <c r="E147" s="379" t="n">
        <f aca="false">SUM(H137:H146)</f>
        <v>75.49182</v>
      </c>
      <c r="F147" s="403" t="s">
        <v>988</v>
      </c>
      <c r="G147" s="405" t="n">
        <v>0.02</v>
      </c>
      <c r="H147" s="404" t="n">
        <f aca="false">E147*G147</f>
        <v>1.5098364</v>
      </c>
    </row>
    <row r="148" s="277" customFormat="true" ht="13.8" hidden="false" customHeight="false" outlineLevel="0" collapsed="false">
      <c r="A148" s="354"/>
      <c r="B148" s="355"/>
      <c r="C148" s="355"/>
      <c r="D148" s="351"/>
      <c r="E148" s="352"/>
      <c r="F148" s="352"/>
      <c r="G148" s="352"/>
      <c r="H148" s="358"/>
      <c r="I148" s="279"/>
      <c r="M148" s="0"/>
      <c r="N148" s="0"/>
    </row>
    <row r="149" customFormat="false" ht="13.8" hidden="false" customHeight="false" outlineLevel="0" collapsed="false">
      <c r="A149" s="286" t="s">
        <v>151</v>
      </c>
      <c r="B149" s="337"/>
      <c r="C149" s="337" t="str">
        <f aca="false">+VLOOKUP($A149,BASEdades!$A$3:$AA$283,3,FALSE())</f>
        <v>m2</v>
      </c>
      <c r="D149" s="367" t="str">
        <f aca="false">+VLOOKUP($A149,BASEdades!$A$3:$AA$298,2,FALSE())</f>
        <v>Revestiment amb morter acrílic i àrid projectat</v>
      </c>
      <c r="E149" s="338"/>
      <c r="F149" s="338"/>
      <c r="G149" s="338"/>
      <c r="H149" s="340" t="n">
        <f aca="false">+VLOOKUP($A149,BASEdades!$A$3:$AA$283,7,FALSE())</f>
        <v>52.3</v>
      </c>
      <c r="I149" s="340" t="e">
        <f aca="false">#REF!*H149</f>
        <v>#REF!</v>
      </c>
    </row>
    <row r="150" customFormat="false" ht="68.65" hidden="false" customHeight="false" outlineLevel="0" collapsed="false">
      <c r="A150" s="329"/>
      <c r="B150" s="368"/>
      <c r="C150" s="368"/>
      <c r="D150" s="353" t="str">
        <f aca="false">+VLOOKUP($A149,BASEdades!$A$3:$AA$283,4,FALSE())</f>
        <v>Revestiment decoratiu en façanes, amb morter suport, color a escollir, acabat granulat imitació pedra natural, amb un rendiment de 5 kg/m² i àrid de marbre, procedent de matxucatge, de granulometria compresa entre 5 i 9 mm, per a la realització de la capa d'acabat en revestiments continus.</v>
      </c>
      <c r="E150" s="341"/>
      <c r="F150" s="341"/>
      <c r="G150" s="341"/>
      <c r="H150" s="344"/>
      <c r="I150" s="370"/>
    </row>
    <row r="151" customFormat="false" ht="14.9" hidden="false" customHeight="false" outlineLevel="0" collapsed="false">
      <c r="A151" s="329"/>
      <c r="B151" s="368"/>
      <c r="C151" s="368"/>
      <c r="D151" s="341" t="str">
        <f aca="false">+VLOOKUP($A149,BASEdades!$A$3:$AA$283,5,FALSE())</f>
        <v>.</v>
      </c>
      <c r="E151" s="341"/>
      <c r="F151" s="341"/>
      <c r="G151" s="341"/>
      <c r="H151" s="344"/>
      <c r="I151" s="370"/>
    </row>
    <row r="152" customFormat="false" ht="13.8" hidden="true" customHeight="false" outlineLevel="0" collapsed="false">
      <c r="A152" s="329"/>
      <c r="B152" s="368"/>
      <c r="C152" s="368"/>
      <c r="D152" s="286" t="s">
        <v>1025</v>
      </c>
      <c r="E152" s="378" t="n">
        <f aca="false">+VLOOKUP($D152,PREUS!$B$1:$F$589,3,FALSE())</f>
        <v>5.15</v>
      </c>
      <c r="F152" s="378" t="str">
        <f aca="false">+VLOOKUP($D152,PREUS!$B$1:$F$589,4,FALSE())</f>
        <v>kg</v>
      </c>
      <c r="G152" s="406" t="n">
        <v>5</v>
      </c>
      <c r="H152" s="404" t="n">
        <f aca="false">E152*G152</f>
        <v>25.75</v>
      </c>
      <c r="I152" s="370"/>
    </row>
    <row r="153" customFormat="false" ht="13.8" hidden="true" customHeight="false" outlineLevel="0" collapsed="false">
      <c r="A153" s="329"/>
      <c r="B153" s="368"/>
      <c r="C153" s="368"/>
      <c r="D153" s="286" t="s">
        <v>1026</v>
      </c>
      <c r="E153" s="378" t="n">
        <f aca="false">+VLOOKUP($D153,PREUS!$B$1:$F$589,3,FALSE())</f>
        <v>0.37</v>
      </c>
      <c r="F153" s="378" t="str">
        <f aca="false">+VLOOKUP($D153,PREUS!$B$1:$F$589,4,FALSE())</f>
        <v>kg</v>
      </c>
      <c r="G153" s="406" t="n">
        <v>10</v>
      </c>
      <c r="H153" s="404" t="n">
        <f aca="false">E153*G153</f>
        <v>3.7</v>
      </c>
      <c r="I153" s="370"/>
    </row>
    <row r="154" customFormat="false" ht="13.8" hidden="true" customHeight="false" outlineLevel="0" collapsed="false">
      <c r="A154" s="329"/>
      <c r="B154" s="323"/>
      <c r="C154" s="323"/>
      <c r="D154" s="286" t="s">
        <v>989</v>
      </c>
      <c r="E154" s="378" t="n">
        <f aca="false">+VLOOKUP($D154,PREUS!$B$1:$F$589,3,FALSE())</f>
        <v>30.79</v>
      </c>
      <c r="F154" s="378" t="str">
        <f aca="false">+VLOOKUP($D154,PREUS!$B$1:$F$589,4,FALSE())</f>
        <v>h</v>
      </c>
      <c r="G154" s="406" t="n">
        <v>0.45</v>
      </c>
      <c r="H154" s="404" t="n">
        <f aca="false">E154*G154</f>
        <v>13.8555</v>
      </c>
    </row>
    <row r="155" customFormat="false" ht="13.8" hidden="true" customHeight="false" outlineLevel="0" collapsed="false">
      <c r="A155" s="329"/>
      <c r="B155" s="323"/>
      <c r="C155" s="323"/>
      <c r="D155" s="286" t="s">
        <v>991</v>
      </c>
      <c r="E155" s="378" t="n">
        <f aca="false">+VLOOKUP($D155,PREUS!$B$1:$F$589,3,FALSE())</f>
        <v>27.39</v>
      </c>
      <c r="F155" s="378" t="str">
        <f aca="false">+VLOOKUP($D155,PREUS!$B$1:$F$589,4,FALSE())</f>
        <v>h</v>
      </c>
      <c r="G155" s="406" t="n">
        <v>0.291</v>
      </c>
      <c r="H155" s="404" t="n">
        <f aca="false">E155*G155</f>
        <v>7.97049</v>
      </c>
    </row>
    <row r="156" customFormat="false" ht="13.8" hidden="true" customHeight="false" outlineLevel="0" collapsed="false">
      <c r="B156" s="323"/>
      <c r="C156" s="323"/>
      <c r="D156" s="286" t="s">
        <v>987</v>
      </c>
      <c r="E156" s="379" t="n">
        <f aca="false">SUM(H152:H155)</f>
        <v>51.27599</v>
      </c>
      <c r="F156" s="403" t="s">
        <v>988</v>
      </c>
      <c r="G156" s="405" t="n">
        <v>0.02</v>
      </c>
      <c r="H156" s="404" t="n">
        <f aca="false">E156*G156</f>
        <v>1.0255198</v>
      </c>
    </row>
    <row r="157" customFormat="false" ht="13.8" hidden="false" customHeight="false" outlineLevel="0" collapsed="false">
      <c r="A157" s="329"/>
      <c r="B157" s="323"/>
      <c r="C157" s="323"/>
      <c r="D157" s="350"/>
      <c r="E157" s="348"/>
      <c r="F157" s="348"/>
      <c r="G157" s="348"/>
      <c r="H157" s="349"/>
    </row>
    <row r="158" customFormat="false" ht="13.8" hidden="false" customHeight="false" outlineLevel="0" collapsed="false">
      <c r="A158" s="286" t="s">
        <v>711</v>
      </c>
      <c r="B158" s="337"/>
      <c r="C158" s="337" t="str">
        <f aca="false">+VLOOKUP($A158,BASEdades!$A$3:$AA$283,3,FALSE())</f>
        <v>m2</v>
      </c>
      <c r="D158" s="367" t="str">
        <f aca="false">+VLOOKUP($A158,BASEdades!$A$3:$AA$298,2,FALSE())</f>
        <v>Coberta sandwitx</v>
      </c>
      <c r="E158" s="338"/>
      <c r="F158" s="338"/>
      <c r="G158" s="338"/>
      <c r="H158" s="340" t="n">
        <f aca="false">+VLOOKUP($A158,BASEdades!$A$3:$AA$283,7,FALSE())</f>
        <v>74.21</v>
      </c>
      <c r="I158" s="340" t="e">
        <f aca="false">#REF!*H158</f>
        <v>#REF!</v>
      </c>
    </row>
    <row r="159" customFormat="false" ht="126" hidden="false" customHeight="true" outlineLevel="0" collapsed="false">
      <c r="A159" s="329"/>
      <c r="B159" s="368"/>
      <c r="C159" s="368"/>
      <c r="D159" s="353" t="str">
        <f aca="false">+VLOOKUP($A158,BASEdades!$A$3:$AA$283,4,FALSE())</f>
        <v>Coberta amb panell sandwitx de planxes d'acer amb aillament de poliuretà (PUR B2), reacció al foc BS2 d0, amb un gruix total de 120 mm, amb la cara exterior i la cara interior perfilada en lames, galvanitzat en calent i prelacat en ambdues cares, gruix de les planxes (ext/int) 0.5/0,5 mm, junt longitudinal encadellat, amb fixació oculta amb tapajunts. Inclou tapajunts i remats perimetrals, elements de carener i totes les trobades del panell amb altres elements. Tot complert i totalment acabat.</v>
      </c>
      <c r="E159" s="341"/>
      <c r="F159" s="341"/>
      <c r="G159" s="341"/>
      <c r="H159" s="344"/>
      <c r="I159" s="370"/>
    </row>
    <row r="160" customFormat="false" ht="14.9" hidden="false" customHeight="false" outlineLevel="0" collapsed="false">
      <c r="A160" s="329"/>
      <c r="B160" s="368"/>
      <c r="C160" s="368"/>
      <c r="D160" s="341" t="str">
        <f aca="false">+VLOOKUP($A158,BASEdades!$A$3:$AA$283,5,FALSE())</f>
        <v>.</v>
      </c>
      <c r="E160" s="341"/>
      <c r="F160" s="341"/>
      <c r="G160" s="341"/>
      <c r="H160" s="344"/>
      <c r="I160" s="370"/>
    </row>
    <row r="161" customFormat="false" ht="13.8" hidden="true" customHeight="false" outlineLevel="0" collapsed="false">
      <c r="A161" s="329"/>
      <c r="B161" s="368"/>
      <c r="C161" s="368"/>
      <c r="D161" s="286" t="s">
        <v>1027</v>
      </c>
      <c r="E161" s="378" t="n">
        <f aca="false">+VLOOKUP($D161,PREUS!$B$1:$F$589,3,FALSE())</f>
        <v>51.65</v>
      </c>
      <c r="F161" s="378" t="str">
        <f aca="false">+VLOOKUP($D161,PREUS!$B$1:$F$589,4,FALSE())</f>
        <v>m2</v>
      </c>
      <c r="G161" s="406" t="n">
        <v>1.13</v>
      </c>
      <c r="H161" s="404" t="n">
        <f aca="false">E161*G161</f>
        <v>58.3645</v>
      </c>
      <c r="I161" s="370"/>
    </row>
    <row r="162" customFormat="false" ht="13.8" hidden="true" customHeight="false" outlineLevel="0" collapsed="false">
      <c r="A162" s="329"/>
      <c r="B162" s="368"/>
      <c r="C162" s="368"/>
      <c r="D162" s="286" t="s">
        <v>1028</v>
      </c>
      <c r="E162" s="378" t="n">
        <f aca="false">+VLOOKUP($D162,PREUS!$B$1:$F$589,3,FALSE())</f>
        <v>14.55</v>
      </c>
      <c r="F162" s="378" t="str">
        <f aca="false">+VLOOKUP($D162,PREUS!$B$1:$F$589,4,FALSE())</f>
        <v>u</v>
      </c>
      <c r="G162" s="406" t="n">
        <v>0.216</v>
      </c>
      <c r="H162" s="404" t="n">
        <f aca="false">E162*G162</f>
        <v>3.1428</v>
      </c>
      <c r="I162" s="370"/>
    </row>
    <row r="163" customFormat="false" ht="13.8" hidden="true" customHeight="false" outlineLevel="0" collapsed="false">
      <c r="A163" s="329"/>
      <c r="B163" s="323"/>
      <c r="C163" s="323"/>
      <c r="D163" s="286" t="s">
        <v>1029</v>
      </c>
      <c r="E163" s="378" t="n">
        <f aca="false">+VLOOKUP($D163,PREUS!$B$1:$F$589,3,FALSE())</f>
        <v>31.79</v>
      </c>
      <c r="F163" s="378" t="str">
        <f aca="false">+VLOOKUP($D163,PREUS!$B$1:$F$589,4,FALSE())</f>
        <v>h</v>
      </c>
      <c r="G163" s="406" t="n">
        <v>0.19</v>
      </c>
      <c r="H163" s="404" t="n">
        <f aca="false">E163*G163</f>
        <v>6.0401</v>
      </c>
    </row>
    <row r="164" customFormat="false" ht="13.8" hidden="true" customHeight="false" outlineLevel="0" collapsed="false">
      <c r="A164" s="329"/>
      <c r="B164" s="323"/>
      <c r="C164" s="323"/>
      <c r="D164" s="286" t="s">
        <v>1030</v>
      </c>
      <c r="E164" s="378" t="n">
        <f aca="false">+VLOOKUP($D164,PREUS!$B$1:$F$589,3,FALSE())</f>
        <v>27.39</v>
      </c>
      <c r="F164" s="378" t="str">
        <f aca="false">+VLOOKUP($D164,PREUS!$B$1:$F$589,4,FALSE())</f>
        <v>h</v>
      </c>
      <c r="G164" s="406" t="n">
        <v>0.19</v>
      </c>
      <c r="H164" s="404" t="n">
        <f aca="false">E164*G164</f>
        <v>5.2041</v>
      </c>
    </row>
    <row r="165" customFormat="false" ht="13.8" hidden="true" customHeight="false" outlineLevel="0" collapsed="false">
      <c r="B165" s="323"/>
      <c r="C165" s="323"/>
      <c r="D165" s="286" t="s">
        <v>987</v>
      </c>
      <c r="E165" s="379" t="n">
        <f aca="false">SUM(H161:H164)</f>
        <v>72.7515</v>
      </c>
      <c r="F165" s="403" t="s">
        <v>988</v>
      </c>
      <c r="G165" s="405" t="n">
        <v>0.02</v>
      </c>
      <c r="H165" s="404" t="n">
        <f aca="false">E165*G165</f>
        <v>1.45503</v>
      </c>
    </row>
    <row r="166" customFormat="false" ht="13.8" hidden="false" customHeight="false" outlineLevel="0" collapsed="false">
      <c r="A166" s="329"/>
      <c r="B166" s="323"/>
      <c r="C166" s="323"/>
      <c r="D166" s="350"/>
      <c r="E166" s="348"/>
      <c r="F166" s="348"/>
      <c r="G166" s="348"/>
      <c r="H166" s="349"/>
    </row>
    <row r="167" customFormat="false" ht="13.8" hidden="false" customHeight="false" outlineLevel="0" collapsed="false">
      <c r="A167" s="286" t="s">
        <v>714</v>
      </c>
      <c r="B167" s="337"/>
      <c r="C167" s="337" t="str">
        <f aca="false">+VLOOKUP($A167,BASEdades!$A$3:$AA$283,3,FALSE())</f>
        <v>m2</v>
      </c>
      <c r="D167" s="367" t="str">
        <f aca="false">+VLOOKUP($A167,BASEdades!$A$3:$AA$298,2,FALSE())</f>
        <v>Canal de recollida d'aigua</v>
      </c>
      <c r="E167" s="338"/>
      <c r="F167" s="338"/>
      <c r="G167" s="338"/>
      <c r="H167" s="340" t="n">
        <f aca="false">+VLOOKUP($A167,BASEdades!$A$3:$AA$283,7,FALSE())</f>
        <v>38.24</v>
      </c>
      <c r="I167" s="340" t="e">
        <f aca="false">#REF!*H167</f>
        <v>#REF!</v>
      </c>
    </row>
    <row r="168" customFormat="false" ht="55.2" hidden="false" customHeight="false" outlineLevel="0" collapsed="false">
      <c r="A168" s="329"/>
      <c r="B168" s="368"/>
      <c r="C168" s="368"/>
      <c r="D168" s="353" t="str">
        <f aca="false">+VLOOKUP($A167,BASEdades!$A$3:$AA$283,4,FALSE())</f>
        <v>Canal exterior de secció rectangular de planxa d'acer galvanitzat i prelacat de 0,5 mm de gruix, de 120x120 mm de secció interior, col·locada amb peces especials fixada a coberta lleugera i connectada al baixant.</v>
      </c>
      <c r="E168" s="341"/>
      <c r="F168" s="341"/>
      <c r="G168" s="341"/>
      <c r="H168" s="344"/>
      <c r="I168" s="370"/>
    </row>
    <row r="169" customFormat="false" ht="14.9" hidden="false" customHeight="false" outlineLevel="0" collapsed="false">
      <c r="A169" s="329"/>
      <c r="B169" s="368"/>
      <c r="C169" s="368"/>
      <c r="D169" s="341" t="str">
        <f aca="false">+VLOOKUP($A167,BASEdades!$A$3:$AA$283,5,FALSE())</f>
        <v>.</v>
      </c>
      <c r="E169" s="341"/>
      <c r="F169" s="341"/>
      <c r="G169" s="341"/>
      <c r="H169" s="344"/>
      <c r="I169" s="370"/>
    </row>
    <row r="170" customFormat="false" ht="13.8" hidden="true" customHeight="false" outlineLevel="0" collapsed="false">
      <c r="A170" s="329"/>
      <c r="B170" s="368"/>
      <c r="C170" s="368"/>
      <c r="D170" s="416" t="s">
        <v>1031</v>
      </c>
      <c r="E170" s="378" t="n">
        <f aca="false">+VLOOKUP($D170,PREUS!$B$1:$F$589,3,FALSE())</f>
        <v>10.53</v>
      </c>
      <c r="F170" s="378" t="str">
        <f aca="false">+VLOOKUP($D170,PREUS!$B$1:$F$589,4,FALSE())</f>
        <v>m</v>
      </c>
      <c r="G170" s="406" t="n">
        <v>1.13</v>
      </c>
      <c r="H170" s="404" t="n">
        <f aca="false">E170*G170</f>
        <v>11.8989</v>
      </c>
      <c r="I170" s="370"/>
    </row>
    <row r="171" customFormat="false" ht="13.8" hidden="true" customHeight="false" outlineLevel="0" collapsed="false">
      <c r="A171" s="329"/>
      <c r="B171" s="368"/>
      <c r="C171" s="368"/>
      <c r="D171" s="286" t="s">
        <v>1032</v>
      </c>
      <c r="E171" s="378" t="n">
        <f aca="false">+VLOOKUP($D171,PREUS!$B$1:$F$589,3,FALSE())</f>
        <v>31.79</v>
      </c>
      <c r="F171" s="378" t="str">
        <f aca="false">+VLOOKUP($D171,PREUS!$B$1:$F$589,4,FALSE())</f>
        <v>h</v>
      </c>
      <c r="G171" s="406" t="n">
        <v>0.4325</v>
      </c>
      <c r="H171" s="404" t="n">
        <f aca="false">E171*G171</f>
        <v>13.749175</v>
      </c>
      <c r="I171" s="370"/>
    </row>
    <row r="172" customFormat="false" ht="13.8" hidden="true" customHeight="false" outlineLevel="0" collapsed="false">
      <c r="A172" s="329"/>
      <c r="B172" s="323"/>
      <c r="C172" s="323"/>
      <c r="D172" s="286" t="s">
        <v>1033</v>
      </c>
      <c r="E172" s="378" t="n">
        <f aca="false">+VLOOKUP($D172,PREUS!$B$1:$F$589,3,FALSE())</f>
        <v>27.36</v>
      </c>
      <c r="F172" s="378" t="str">
        <f aca="false">+VLOOKUP($D172,PREUS!$B$1:$F$589,4,FALSE())</f>
        <v>h</v>
      </c>
      <c r="G172" s="406" t="n">
        <v>0.4327</v>
      </c>
      <c r="H172" s="404" t="n">
        <f aca="false">E172*G172</f>
        <v>11.838672</v>
      </c>
    </row>
    <row r="173" customFormat="false" ht="13.8" hidden="true" customHeight="false" outlineLevel="0" collapsed="false">
      <c r="B173" s="323"/>
      <c r="C173" s="323"/>
      <c r="D173" s="286" t="s">
        <v>987</v>
      </c>
      <c r="E173" s="379" t="n">
        <f aca="false">SUM(H170:H172)</f>
        <v>37.486747</v>
      </c>
      <c r="F173" s="403" t="s">
        <v>988</v>
      </c>
      <c r="G173" s="405" t="n">
        <v>0.02</v>
      </c>
      <c r="H173" s="404" t="n">
        <f aca="false">E173*G173</f>
        <v>0.74973494</v>
      </c>
    </row>
    <row r="174" customFormat="false" ht="13.8" hidden="false" customHeight="false" outlineLevel="0" collapsed="false">
      <c r="A174" s="329"/>
      <c r="B174" s="323"/>
      <c r="C174" s="323"/>
      <c r="D174" s="350"/>
      <c r="E174" s="348"/>
      <c r="F174" s="348"/>
      <c r="G174" s="348"/>
      <c r="H174" s="349"/>
    </row>
    <row r="175" customFormat="false" ht="13.8" hidden="false" customHeight="false" outlineLevel="0" collapsed="false">
      <c r="A175" s="286" t="s">
        <v>164</v>
      </c>
      <c r="B175" s="337"/>
      <c r="C175" s="337" t="str">
        <f aca="false">+VLOOKUP($A175,BASEdades!$A$3:$AA$283,3,FALSE())</f>
        <v>ut</v>
      </c>
      <c r="D175" s="367" t="str">
        <f aca="false">+VLOOKUP($A175,BASEdades!$A$3:$AA$298,2,FALSE())</f>
        <v>Baixant de pluvials</v>
      </c>
      <c r="E175" s="338"/>
      <c r="F175" s="338"/>
      <c r="G175" s="338"/>
      <c r="H175" s="340" t="n">
        <f aca="false">+VLOOKUP($A175,BASEdades!$A$3:$AA$283,7,FALSE())</f>
        <v>17.64</v>
      </c>
      <c r="I175" s="340" t="e">
        <f aca="false">#REF!*H175</f>
        <v>#REF!</v>
      </c>
    </row>
    <row r="176" customFormat="false" ht="106.5" hidden="false" customHeight="true" outlineLevel="0" collapsed="false">
      <c r="A176" s="329"/>
      <c r="B176" s="368"/>
      <c r="C176" s="368"/>
      <c r="D176" s="353" t="str">
        <f aca="false">+VLOOKUP($A175,BASEdades!$A$3:$AA$283,4,FALSE())</f>
        <v>Baixant circular de PVC amb òxid de titani, de Ø 80 mm, color gris clar, per a recollida d'aigües, formada per peces preformades, amb sistema d'unió per endoll i enganxat mitjançant adhesiu, col·locades amb brides metàl·liques, instal·lada a l'exterior de l'edifici. Inclús líquid netejador, adhesiu per a tubs i accessoris de PVC, connexions, colzes i peces especials.
</v>
      </c>
      <c r="E176" s="341"/>
      <c r="F176" s="341"/>
      <c r="G176" s="341"/>
      <c r="H176" s="344"/>
      <c r="I176" s="370"/>
    </row>
    <row r="177" customFormat="false" ht="14.9" hidden="false" customHeight="false" outlineLevel="0" collapsed="false">
      <c r="A177" s="329"/>
      <c r="B177" s="368"/>
      <c r="C177" s="368"/>
      <c r="D177" s="341" t="str">
        <f aca="false">+VLOOKUP($A175,BASEdades!$A$3:$AA$283,5,FALSE())</f>
        <v>.</v>
      </c>
      <c r="E177" s="341"/>
      <c r="F177" s="341"/>
      <c r="G177" s="341"/>
      <c r="H177" s="344"/>
      <c r="I177" s="370"/>
    </row>
    <row r="178" customFormat="false" ht="13.8" hidden="true" customHeight="false" outlineLevel="0" collapsed="false">
      <c r="A178" s="329"/>
      <c r="B178" s="323"/>
      <c r="C178" s="323"/>
      <c r="D178" s="286" t="s">
        <v>1034</v>
      </c>
      <c r="E178" s="378" t="n">
        <f aca="false">+VLOOKUP($D178,PREUS!$B$1:$F$589,3,FALSE())</f>
        <v>24.67</v>
      </c>
      <c r="F178" s="378" t="str">
        <f aca="false">+VLOOKUP($D178,PREUS!$B$1:$F$589,4,FALSE())</f>
        <v>m</v>
      </c>
      <c r="G178" s="406" t="n">
        <v>1.13</v>
      </c>
      <c r="H178" s="404" t="n">
        <f aca="false">E178*G178</f>
        <v>27.8771</v>
      </c>
    </row>
    <row r="179" customFormat="false" ht="13.8" hidden="true" customHeight="false" outlineLevel="0" collapsed="false">
      <c r="A179" s="329"/>
      <c r="B179" s="368"/>
      <c r="C179" s="368"/>
      <c r="D179" s="286" t="s">
        <v>1032</v>
      </c>
      <c r="E179" s="378" t="n">
        <f aca="false">+VLOOKUP($D179,PREUS!$B$1:$F$589,3,FALSE())</f>
        <v>31.79</v>
      </c>
      <c r="F179" s="378" t="str">
        <f aca="false">+VLOOKUP($D179,PREUS!$B$1:$F$589,4,FALSE())</f>
        <v>h</v>
      </c>
      <c r="G179" s="406" t="n">
        <v>0.4325</v>
      </c>
      <c r="H179" s="404" t="n">
        <f aca="false">E179*G179</f>
        <v>13.749175</v>
      </c>
      <c r="I179" s="370"/>
    </row>
    <row r="180" customFormat="false" ht="13.8" hidden="true" customHeight="false" outlineLevel="0" collapsed="false">
      <c r="A180" s="329"/>
      <c r="B180" s="323"/>
      <c r="C180" s="323"/>
      <c r="D180" s="286" t="s">
        <v>1033</v>
      </c>
      <c r="E180" s="378" t="n">
        <f aca="false">+VLOOKUP($D180,PREUS!$B$1:$F$589,3,FALSE())</f>
        <v>27.36</v>
      </c>
      <c r="F180" s="378" t="str">
        <f aca="false">+VLOOKUP($D180,PREUS!$B$1:$F$589,4,FALSE())</f>
        <v>h</v>
      </c>
      <c r="G180" s="406" t="n">
        <v>0.4327</v>
      </c>
      <c r="H180" s="404" t="n">
        <f aca="false">E180*G180</f>
        <v>11.838672</v>
      </c>
    </row>
    <row r="181" customFormat="false" ht="13.8" hidden="true" customHeight="false" outlineLevel="0" collapsed="false">
      <c r="B181" s="323"/>
      <c r="C181" s="323"/>
      <c r="D181" s="286" t="s">
        <v>987</v>
      </c>
      <c r="E181" s="379" t="n">
        <f aca="false">SUM(H178:H180)</f>
        <v>53.464947</v>
      </c>
      <c r="F181" s="403" t="s">
        <v>988</v>
      </c>
      <c r="G181" s="405" t="n">
        <v>0.02</v>
      </c>
      <c r="H181" s="404" t="n">
        <f aca="false">E181*G181</f>
        <v>1.06929894</v>
      </c>
    </row>
    <row r="182" s="277" customFormat="true" ht="13.8" hidden="false" customHeight="false" outlineLevel="0" collapsed="false">
      <c r="A182" s="354"/>
      <c r="B182" s="355"/>
      <c r="C182" s="355"/>
      <c r="D182" s="351"/>
      <c r="E182" s="352"/>
      <c r="F182" s="352"/>
      <c r="G182" s="352"/>
      <c r="H182" s="358"/>
      <c r="I182" s="279"/>
      <c r="M182" s="0"/>
      <c r="N182" s="0"/>
    </row>
    <row r="183" customFormat="false" ht="13.8" hidden="false" customHeight="false" outlineLevel="0" collapsed="false">
      <c r="A183" s="286" t="s">
        <v>689</v>
      </c>
      <c r="B183" s="375"/>
      <c r="C183" s="337" t="str">
        <f aca="false">+VLOOKUP($A183,BASEdades!$A$3:$AA$283,3,FALSE())</f>
        <v>h</v>
      </c>
      <c r="D183" s="367" t="str">
        <f aca="false">+VLOOKUP($A183,BASEdades!$A$3:$AA$298,2,FALSE())</f>
        <v>Modificació serralleria existent</v>
      </c>
      <c r="E183" s="338"/>
      <c r="F183" s="338"/>
      <c r="G183" s="338"/>
      <c r="H183" s="340" t="n">
        <f aca="false">+VLOOKUP($A183,BASEdades!$A$3:$AA$283,7,FALSE())</f>
        <v>69</v>
      </c>
      <c r="I183" s="340" t="e">
        <f aca="false">#REF!*H183</f>
        <v>#REF!</v>
      </c>
    </row>
    <row r="184" customFormat="false" ht="14.9" hidden="false" customHeight="false" outlineLevel="0" collapsed="false">
      <c r="A184" s="329"/>
      <c r="B184" s="368"/>
      <c r="C184" s="368"/>
      <c r="D184" s="353" t="str">
        <f aca="false">+VLOOKUP($A183,BASEdades!$A$3:$AA$283,4,FALSE())</f>
        <v>Jornada d'oficial de manyà.</v>
      </c>
      <c r="E184" s="341"/>
      <c r="F184" s="341"/>
      <c r="G184" s="341"/>
      <c r="H184" s="344"/>
      <c r="I184" s="370"/>
    </row>
    <row r="185" customFormat="false" ht="14.9" hidden="false" customHeight="false" outlineLevel="0" collapsed="false">
      <c r="A185" s="329"/>
      <c r="B185" s="368"/>
      <c r="C185" s="368"/>
      <c r="D185" s="341" t="str">
        <f aca="false">+VLOOKUP($A183,BASEdades!$A$3:$AA$283,5,FALSE())</f>
        <v>.</v>
      </c>
      <c r="E185" s="341"/>
      <c r="F185" s="341"/>
      <c r="G185" s="341"/>
      <c r="H185" s="344"/>
      <c r="I185" s="370"/>
    </row>
    <row r="186" customFormat="false" ht="13.8" hidden="true" customHeight="false" outlineLevel="0" collapsed="false">
      <c r="A186" s="329"/>
      <c r="B186" s="368"/>
      <c r="C186" s="368"/>
      <c r="D186" s="286" t="s">
        <v>1035</v>
      </c>
      <c r="E186" s="378" t="n">
        <f aca="false">+VLOOKUP($D186,PREUS!$B$1:$F$589,3,FALSE())</f>
        <v>31.27</v>
      </c>
      <c r="F186" s="378" t="str">
        <f aca="false">+VLOOKUP($D186,PREUS!$B$1:$F$589,4,FALSE())</f>
        <v>h</v>
      </c>
      <c r="G186" s="406" t="n">
        <v>1</v>
      </c>
      <c r="H186" s="404" t="n">
        <f aca="false">E186*G186</f>
        <v>31.27</v>
      </c>
      <c r="I186" s="370"/>
    </row>
    <row r="187" customFormat="false" ht="13.8" hidden="true" customHeight="false" outlineLevel="0" collapsed="false">
      <c r="A187" s="329"/>
      <c r="B187" s="323"/>
      <c r="C187" s="323"/>
      <c r="D187" s="286" t="s">
        <v>1036</v>
      </c>
      <c r="E187" s="378" t="n">
        <f aca="false">+VLOOKUP($D187,PREUS!$B$1:$F$589,3,FALSE())</f>
        <v>27.48</v>
      </c>
      <c r="F187" s="378" t="str">
        <f aca="false">+VLOOKUP($D187,PREUS!$B$1:$F$589,4,FALSE())</f>
        <v>h</v>
      </c>
      <c r="G187" s="406" t="n">
        <v>1</v>
      </c>
      <c r="H187" s="404" t="n">
        <f aca="false">E187*G187</f>
        <v>27.48</v>
      </c>
    </row>
    <row r="188" customFormat="false" ht="13.8" hidden="true" customHeight="false" outlineLevel="0" collapsed="false">
      <c r="A188" s="329"/>
      <c r="B188" s="323"/>
      <c r="C188" s="323"/>
      <c r="D188" s="286" t="s">
        <v>1037</v>
      </c>
      <c r="E188" s="378" t="n">
        <f aca="false">+VLOOKUP($D188,PREUS!$B$1:$F$589,3,FALSE())</f>
        <v>1.66</v>
      </c>
      <c r="F188" s="378" t="str">
        <f aca="false">+VLOOKUP($D188,PREUS!$B$1:$F$589,4,FALSE())</f>
        <v>kg</v>
      </c>
      <c r="G188" s="406" t="n">
        <v>5.36</v>
      </c>
      <c r="H188" s="404" t="n">
        <f aca="false">E188*G188</f>
        <v>8.8976</v>
      </c>
    </row>
    <row r="189" customFormat="false" ht="13.8" hidden="true" customHeight="false" outlineLevel="0" collapsed="false">
      <c r="B189" s="323"/>
      <c r="C189" s="323"/>
      <c r="D189" s="286" t="s">
        <v>987</v>
      </c>
      <c r="E189" s="379" t="n">
        <f aca="false">SUM(H186:H188)</f>
        <v>67.6476</v>
      </c>
      <c r="F189" s="403" t="s">
        <v>988</v>
      </c>
      <c r="G189" s="405" t="n">
        <v>0.02</v>
      </c>
      <c r="H189" s="404" t="n">
        <f aca="false">E189*G189</f>
        <v>1.352952</v>
      </c>
    </row>
    <row r="190" s="277" customFormat="true" ht="13.8" hidden="true" customHeight="false" outlineLevel="0" collapsed="false">
      <c r="A190" s="354"/>
      <c r="B190" s="361"/>
      <c r="C190" s="361"/>
      <c r="D190" s="362"/>
      <c r="E190" s="362"/>
      <c r="F190" s="362"/>
      <c r="G190" s="362"/>
      <c r="H190" s="359"/>
      <c r="I190" s="366"/>
      <c r="M190" s="0"/>
      <c r="N190" s="0"/>
    </row>
    <row r="191" s="277" customFormat="true" ht="13.8" hidden="false" customHeight="false" outlineLevel="0" collapsed="false">
      <c r="A191" s="354"/>
      <c r="B191" s="355"/>
      <c r="C191" s="355"/>
      <c r="D191" s="351"/>
      <c r="E191" s="352"/>
      <c r="F191" s="352"/>
      <c r="G191" s="352"/>
      <c r="H191" s="358"/>
      <c r="I191" s="279"/>
      <c r="M191" s="0"/>
      <c r="N191" s="0"/>
    </row>
    <row r="192" customFormat="false" ht="13.8" hidden="false" customHeight="false" outlineLevel="0" collapsed="false">
      <c r="A192" s="286" t="s">
        <v>717</v>
      </c>
      <c r="B192" s="337"/>
      <c r="C192" s="337" t="str">
        <f aca="false">+VLOOKUP($A192,BASEdades!$A$3:$AA$283,3,FALSE())</f>
        <v>m</v>
      </c>
      <c r="D192" s="367" t="str">
        <f aca="false">+VLOOKUP($A192,BASEdades!$A$3:$AA$298,2,FALSE())</f>
        <v>Mòdul de tanca metàl·lica de perfils buits</v>
      </c>
      <c r="E192" s="338"/>
      <c r="F192" s="338"/>
      <c r="G192" s="338"/>
      <c r="H192" s="340" t="n">
        <f aca="false">+VLOOKUP($A192,BASEdades!$A$3:$AA$283,7,FALSE())</f>
        <v>316.51</v>
      </c>
      <c r="I192" s="340" t="e">
        <f aca="false">#REF!*H192</f>
        <v>#REF!</v>
      </c>
    </row>
    <row r="193" customFormat="false" ht="108" hidden="false" customHeight="true" outlineLevel="0" collapsed="false">
      <c r="A193" s="329"/>
      <c r="B193" s="368"/>
      <c r="C193" s="368"/>
      <c r="D193" s="353" t="str">
        <f aca="false">+VLOOKUP($A192,BASEdades!$A$3:$AA$283,4,FALSE())</f>
        <v>Mòdul de clos metàl·lic,  format per perfils buits de secció circular, d'acer galvanitzat (Z 275), acabat lacat en color a definir per DF de 2 mm d'espessor, 60 mm de diàmetre i 2400 mm d'altura, amb una separació màxima de 80 mm entre els perfils, amb una pletina  metàl·lica horitzontal superior de 80x8mm i inferior de 100x8, fixada als perfils mitjançant soldadura. Peus d'anclatge de pletines fixats amb varil·les metàl·liques a solera de formigó existent. </v>
      </c>
      <c r="E193" s="341"/>
      <c r="F193" s="341"/>
      <c r="G193" s="341"/>
      <c r="H193" s="344"/>
      <c r="I193" s="370"/>
    </row>
    <row r="194" customFormat="false" ht="14.9" hidden="false" customHeight="false" outlineLevel="0" collapsed="false">
      <c r="A194" s="329"/>
      <c r="B194" s="368"/>
      <c r="C194" s="368"/>
      <c r="D194" s="341" t="str">
        <f aca="false">+VLOOKUP($A192,BASEdades!$A$3:$AA$283,5,FALSE())</f>
        <v>.mides: m</v>
      </c>
      <c r="E194" s="341"/>
      <c r="F194" s="341"/>
      <c r="G194" s="341"/>
      <c r="H194" s="344"/>
      <c r="I194" s="370"/>
    </row>
    <row r="195" customFormat="false" ht="14.9" hidden="false" customHeight="false" outlineLevel="0" collapsed="false">
      <c r="A195" s="329"/>
      <c r="B195" s="368"/>
      <c r="C195" s="368"/>
      <c r="D195" s="341" t="str">
        <f aca="false">+VLOOKUP($A192,BASEdades!$A$3:$AA$283,6,FALSE())</f>
        <v>.</v>
      </c>
      <c r="E195" s="348"/>
      <c r="F195" s="348"/>
      <c r="G195" s="348"/>
      <c r="H195" s="344"/>
      <c r="I195" s="370"/>
    </row>
    <row r="196" customFormat="false" ht="13.8" hidden="true" customHeight="false" outlineLevel="0" collapsed="false">
      <c r="A196" s="329"/>
      <c r="B196" s="368"/>
      <c r="C196" s="368"/>
      <c r="D196" s="286" t="s">
        <v>1035</v>
      </c>
      <c r="E196" s="378" t="n">
        <f aca="false">+VLOOKUP($D196,PREUS!$B$1:$F$589,3,FALSE())</f>
        <v>31.27</v>
      </c>
      <c r="F196" s="378" t="str">
        <f aca="false">+VLOOKUP($D196,PREUS!$B$1:$F$589,4,FALSE())</f>
        <v>h</v>
      </c>
      <c r="G196" s="406" t="n">
        <v>3.3915</v>
      </c>
      <c r="H196" s="404" t="n">
        <f aca="false">E196*G196</f>
        <v>106.052205</v>
      </c>
      <c r="I196" s="370"/>
    </row>
    <row r="197" customFormat="false" ht="13.8" hidden="true" customHeight="false" outlineLevel="0" collapsed="false">
      <c r="A197" s="329"/>
      <c r="B197" s="323"/>
      <c r="C197" s="323"/>
      <c r="D197" s="286" t="s">
        <v>1036</v>
      </c>
      <c r="E197" s="378" t="n">
        <f aca="false">+VLOOKUP($D197,PREUS!$B$1:$F$589,3,FALSE())</f>
        <v>27.48</v>
      </c>
      <c r="F197" s="378" t="str">
        <f aca="false">+VLOOKUP($D197,PREUS!$B$1:$F$589,4,FALSE())</f>
        <v>h</v>
      </c>
      <c r="G197" s="406" t="n">
        <v>3</v>
      </c>
      <c r="H197" s="404" t="n">
        <f aca="false">E197*G197</f>
        <v>82.44</v>
      </c>
    </row>
    <row r="198" customFormat="false" ht="13.8" hidden="true" customHeight="false" outlineLevel="0" collapsed="false">
      <c r="A198" s="329"/>
      <c r="B198" s="323"/>
      <c r="C198" s="323"/>
      <c r="D198" s="286" t="s">
        <v>1037</v>
      </c>
      <c r="E198" s="378" t="n">
        <f aca="false">+VLOOKUP($D198,PREUS!$B$1:$F$589,3,FALSE())</f>
        <v>1.66</v>
      </c>
      <c r="F198" s="378" t="str">
        <f aca="false">+VLOOKUP($D198,PREUS!$B$1:$F$589,4,FALSE())</f>
        <v>kg</v>
      </c>
      <c r="G198" s="406" t="n">
        <f aca="false">2.4*0.000364*8000*7*1.5</f>
        <v>73.3824</v>
      </c>
      <c r="H198" s="404" t="n">
        <f aca="false">E198*G198</f>
        <v>121.814784</v>
      </c>
    </row>
    <row r="199" customFormat="false" ht="13.8" hidden="true" customHeight="false" outlineLevel="0" collapsed="false">
      <c r="B199" s="323"/>
      <c r="C199" s="323"/>
      <c r="D199" s="286" t="s">
        <v>987</v>
      </c>
      <c r="E199" s="379" t="n">
        <f aca="false">SUM(H196:H198)</f>
        <v>310.306989</v>
      </c>
      <c r="F199" s="403" t="s">
        <v>988</v>
      </c>
      <c r="G199" s="405" t="n">
        <v>0.02</v>
      </c>
      <c r="H199" s="404" t="n">
        <f aca="false">E199*G199</f>
        <v>6.20613978</v>
      </c>
    </row>
    <row r="200" customFormat="false" ht="13.8" hidden="false" customHeight="false" outlineLevel="0" collapsed="false">
      <c r="B200" s="323"/>
      <c r="C200" s="323"/>
      <c r="D200" s="350"/>
      <c r="E200" s="348"/>
      <c r="F200" s="348"/>
      <c r="G200" s="348"/>
      <c r="H200" s="344"/>
      <c r="I200" s="345"/>
    </row>
    <row r="201" customFormat="false" ht="13.8" hidden="false" customHeight="false" outlineLevel="0" collapsed="false">
      <c r="A201" s="286" t="s">
        <v>720</v>
      </c>
      <c r="B201" s="337"/>
      <c r="C201" s="337" t="str">
        <f aca="false">+VLOOKUP($A201,BASEdades!$A$3:$AA$283,3,FALSE())</f>
        <v>ut</v>
      </c>
      <c r="D201" s="367" t="str">
        <f aca="false">+VLOOKUP($A201,BASEdades!$A$3:$AA$298,2,FALSE())</f>
        <v>Porta metàl·lica de perfils buits</v>
      </c>
      <c r="E201" s="338"/>
      <c r="F201" s="338"/>
      <c r="G201" s="338"/>
      <c r="H201" s="340" t="n">
        <f aca="false">+VLOOKUP($A201,BASEdades!$A$3:$AA$283,7,FALSE())</f>
        <v>682.82</v>
      </c>
      <c r="I201" s="340" t="e">
        <f aca="false">#REF!*H201</f>
        <v>#REF!</v>
      </c>
    </row>
    <row r="202" customFormat="false" ht="149.25" hidden="false" customHeight="false" outlineLevel="0" collapsed="false">
      <c r="A202" s="329"/>
      <c r="B202" s="368"/>
      <c r="C202" s="368"/>
      <c r="D202" s="353" t="str">
        <f aca="false">+VLOOKUP($A201,BASEdades!$A$3:$AA$283,4,FALSE())</f>
        <v>Porta de clos metàl·lic de fulla batent de dimensions 95x240cm, format per perfils buits de secció circular, d'acer galvanitzat (Z 275), acabat lacat en color a definir per DF de 2 mm d'espessor, 60 mm de diàmetre i 2400 mm d'altura, amb una separació màxima de 80 mm entre els perfils, amb una pletina  metàl·lica horitzontal superior de 80x8mm i inferior de 100x8, fixada als perfils mitjançant soldadura. Obertura manual. Muntants laterals de pletina en "U" d'acer galvanitzat de 100x100x8mm asseguts amb formigó HM-25/B/20/X0, armadura portant de la cancel·la i rebuts a obra, elements d'ancoratge, ferramentes de seguretat i tancament, acabat amb emprimació antioxidant i accessoris.</v>
      </c>
      <c r="E202" s="342"/>
      <c r="F202" s="342"/>
      <c r="G202" s="342"/>
      <c r="H202" s="344"/>
      <c r="I202" s="345"/>
    </row>
    <row r="203" customFormat="false" ht="14.9" hidden="false" customHeight="false" outlineLevel="0" collapsed="false">
      <c r="A203" s="329"/>
      <c r="B203" s="368"/>
      <c r="C203" s="368"/>
      <c r="D203" s="341" t="str">
        <f aca="false">+VLOOKUP($A201,BASEdades!$A$3:$AA$283,5,FALSE())</f>
        <v>.mides: m</v>
      </c>
      <c r="E203" s="342"/>
      <c r="F203" s="342"/>
      <c r="G203" s="342"/>
      <c r="H203" s="344"/>
      <c r="I203" s="345"/>
    </row>
    <row r="204" customFormat="false" ht="14.9" hidden="false" customHeight="false" outlineLevel="0" collapsed="false">
      <c r="A204" s="329"/>
      <c r="B204" s="368"/>
      <c r="C204" s="368"/>
      <c r="D204" s="341" t="str">
        <f aca="false">+VLOOKUP($A201,BASEdades!$A$3:$AA$283,6,FALSE())</f>
        <v>.</v>
      </c>
      <c r="E204" s="347"/>
      <c r="F204" s="347"/>
      <c r="G204" s="347"/>
      <c r="H204" s="349"/>
    </row>
    <row r="205" customFormat="false" ht="13.8" hidden="true" customHeight="false" outlineLevel="0" collapsed="false">
      <c r="A205" s="329"/>
      <c r="B205" s="368"/>
      <c r="C205" s="368"/>
      <c r="D205" s="286" t="s">
        <v>1035</v>
      </c>
      <c r="E205" s="378" t="n">
        <f aca="false">+VLOOKUP($D205,PREUS!$B$1:$F$589,3,FALSE())</f>
        <v>31.27</v>
      </c>
      <c r="F205" s="378" t="str">
        <f aca="false">+VLOOKUP($D205,PREUS!$B$1:$F$589,4,FALSE())</f>
        <v>h</v>
      </c>
      <c r="G205" s="406" t="n">
        <v>5</v>
      </c>
      <c r="H205" s="404" t="n">
        <f aca="false">E205*G205</f>
        <v>156.35</v>
      </c>
      <c r="I205" s="370"/>
    </row>
    <row r="206" customFormat="false" ht="13.8" hidden="true" customHeight="false" outlineLevel="0" collapsed="false">
      <c r="A206" s="329"/>
      <c r="B206" s="323"/>
      <c r="C206" s="323"/>
      <c r="D206" s="286" t="s">
        <v>1036</v>
      </c>
      <c r="E206" s="378" t="n">
        <f aca="false">+VLOOKUP($D206,PREUS!$B$1:$F$589,3,FALSE())</f>
        <v>27.48</v>
      </c>
      <c r="F206" s="378" t="str">
        <f aca="false">+VLOOKUP($D206,PREUS!$B$1:$F$589,4,FALSE())</f>
        <v>h</v>
      </c>
      <c r="G206" s="406" t="n">
        <v>5</v>
      </c>
      <c r="H206" s="404" t="n">
        <f aca="false">E206*G206</f>
        <v>137.4</v>
      </c>
    </row>
    <row r="207" customFormat="false" ht="13.8" hidden="true" customHeight="false" outlineLevel="0" collapsed="false">
      <c r="A207" s="329"/>
      <c r="B207" s="323"/>
      <c r="C207" s="323"/>
      <c r="D207" s="286" t="s">
        <v>1037</v>
      </c>
      <c r="E207" s="378" t="n">
        <f aca="false">+VLOOKUP($D207,PREUS!$B$1:$F$589,3,FALSE())</f>
        <v>1.66</v>
      </c>
      <c r="F207" s="378" t="str">
        <f aca="false">+VLOOKUP($D207,PREUS!$B$1:$F$589,4,FALSE())</f>
        <v>kg</v>
      </c>
      <c r="G207" s="406" t="n">
        <f aca="false">2.4*0.000364*8000*7*2.5</f>
        <v>122.304</v>
      </c>
      <c r="H207" s="404" t="n">
        <f aca="false">E207*G207</f>
        <v>203.02464</v>
      </c>
    </row>
    <row r="208" customFormat="false" ht="13.8" hidden="true" customHeight="false" outlineLevel="0" collapsed="false">
      <c r="A208" s="329"/>
      <c r="B208" s="323"/>
      <c r="C208" s="323"/>
      <c r="D208" s="286" t="s">
        <v>1038</v>
      </c>
      <c r="E208" s="378" t="n">
        <v>1</v>
      </c>
      <c r="F208" s="378" t="s">
        <v>334</v>
      </c>
      <c r="G208" s="406" t="n">
        <v>172.66</v>
      </c>
      <c r="H208" s="404" t="n">
        <f aca="false">E208*G208</f>
        <v>172.66</v>
      </c>
    </row>
    <row r="209" customFormat="false" ht="13.8" hidden="true" customHeight="false" outlineLevel="0" collapsed="false">
      <c r="B209" s="323"/>
      <c r="C209" s="323"/>
      <c r="D209" s="286" t="s">
        <v>987</v>
      </c>
      <c r="E209" s="379" t="n">
        <f aca="false">SUM(H205:H208)</f>
        <v>669.43464</v>
      </c>
      <c r="F209" s="403" t="s">
        <v>988</v>
      </c>
      <c r="G209" s="405" t="n">
        <v>0.02</v>
      </c>
      <c r="H209" s="404" t="n">
        <f aca="false">E209*G209</f>
        <v>13.3886928</v>
      </c>
    </row>
    <row r="210" s="277" customFormat="true" ht="13.8" hidden="false" customHeight="false" outlineLevel="0" collapsed="false">
      <c r="B210" s="355"/>
      <c r="C210" s="355"/>
      <c r="D210" s="351"/>
      <c r="E210" s="352"/>
      <c r="F210" s="352"/>
      <c r="G210" s="352"/>
      <c r="H210" s="359"/>
      <c r="I210" s="360"/>
      <c r="M210" s="0"/>
      <c r="N210" s="0"/>
    </row>
    <row r="211" customFormat="false" ht="13.8" hidden="false" customHeight="false" outlineLevel="0" collapsed="false">
      <c r="A211" s="286" t="s">
        <v>158</v>
      </c>
      <c r="B211" s="337"/>
      <c r="C211" s="337" t="str">
        <f aca="false">+VLOOKUP($A211,BASEdades!$A$3:$AA$283,3,FALSE())</f>
        <v>ut</v>
      </c>
      <c r="D211" s="338" t="str">
        <f aca="false">+VLOOKUP($A211,BASEdades!$A$3:$AA$283,2,FALSE())</f>
        <v>Instal·lació elèctrica </v>
      </c>
      <c r="E211" s="338"/>
      <c r="F211" s="338"/>
      <c r="G211" s="338"/>
      <c r="H211" s="340" t="n">
        <f aca="false">+VLOOKUP($A211,BASEdades!$A$3:$AA$283,7,FALSE())</f>
        <v>923.85</v>
      </c>
      <c r="I211" s="340" t="e">
        <f aca="false">#REF!*H211</f>
        <v>#REF!</v>
      </c>
    </row>
    <row r="212" customFormat="false" ht="122.35" hidden="false" customHeight="false" outlineLevel="0" collapsed="false">
      <c r="B212" s="323"/>
      <c r="C212" s="323"/>
      <c r="D212" s="341" t="str">
        <f aca="false">+VLOOKUP($A211,BASEdades!$A$3:$AA$283,4,FALSE())</f>
        <v>Conjunt de treballs per al subministre, colocació i connexió de nou punt de llum al magatzem de cotxets, i preparació de connexió del porter electrònic.
Inclou aplic de paret tortuga per a exterior amb reixeta metàl·lica. Potència màxima 60W per a bombeta E27 (2 unitats) i sensor de presència.
Tota la instalació completa, amb tots els elements necessaris per al seu funcionament.
Inclou realització d'ajudes de paleteria de qualsevol tipus.</v>
      </c>
      <c r="E212" s="342"/>
      <c r="F212" s="342"/>
      <c r="G212" s="342"/>
      <c r="H212" s="344"/>
      <c r="I212" s="345"/>
    </row>
    <row r="213" customFormat="false" ht="13.8" hidden="false" customHeight="false" outlineLevel="0" collapsed="false">
      <c r="B213" s="323"/>
      <c r="C213" s="323"/>
      <c r="D213" s="346" t="str">
        <f aca="false">+VLOOKUP($A211,BASEdades!$A$3:$AA$283,5,FALSE())</f>
        <v>.</v>
      </c>
      <c r="E213" s="347"/>
      <c r="F213" s="347"/>
      <c r="G213" s="347"/>
      <c r="H213" s="349"/>
    </row>
    <row r="214" customFormat="false" ht="13.8" hidden="true" customHeight="false" outlineLevel="0" collapsed="false">
      <c r="B214" s="368"/>
      <c r="C214" s="368"/>
      <c r="D214" s="286" t="s">
        <v>1035</v>
      </c>
      <c r="E214" s="378" t="n">
        <f aca="false">+VLOOKUP($D214,PREUS!$B$1:$F$589,3,FALSE())</f>
        <v>31.27</v>
      </c>
      <c r="F214" s="378" t="str">
        <f aca="false">+VLOOKUP($D214,PREUS!$B$1:$F$589,4,FALSE())</f>
        <v>h</v>
      </c>
      <c r="G214" s="406" t="n">
        <v>5</v>
      </c>
      <c r="H214" s="404" t="n">
        <f aca="false">E214*G214</f>
        <v>156.35</v>
      </c>
      <c r="I214" s="370"/>
    </row>
    <row r="215" customFormat="false" ht="11.25" hidden="true" customHeight="true" outlineLevel="0" collapsed="false">
      <c r="A215" s="329"/>
      <c r="B215" s="323"/>
      <c r="C215" s="323"/>
      <c r="D215" s="286" t="s">
        <v>1039</v>
      </c>
      <c r="E215" s="378" t="n">
        <v>85.81</v>
      </c>
      <c r="F215" s="378" t="s">
        <v>334</v>
      </c>
      <c r="G215" s="406" t="n">
        <v>1</v>
      </c>
      <c r="H215" s="404" t="n">
        <f aca="false">E215*G215</f>
        <v>85.81</v>
      </c>
    </row>
    <row r="216" customFormat="false" ht="13.8" hidden="true" customHeight="false" outlineLevel="0" collapsed="false">
      <c r="A216" s="329"/>
      <c r="B216" s="323"/>
      <c r="C216" s="323"/>
      <c r="D216" s="408" t="s">
        <v>1040</v>
      </c>
      <c r="E216" s="378" t="n">
        <f aca="false">+VLOOKUP($D216,PREUS!$B$1:$F$589,3,FALSE())</f>
        <v>19.5</v>
      </c>
      <c r="F216" s="378" t="str">
        <f aca="false">+VLOOKUP($D216,PREUS!$B$1:$F$589,4,FALSE())</f>
        <v>u</v>
      </c>
      <c r="G216" s="406" t="n">
        <v>2</v>
      </c>
      <c r="H216" s="404" t="n">
        <f aca="false">E216*G216</f>
        <v>39</v>
      </c>
    </row>
    <row r="217" customFormat="false" ht="13.8" hidden="true" customHeight="false" outlineLevel="0" collapsed="false">
      <c r="A217" s="329"/>
      <c r="B217" s="323"/>
      <c r="C217" s="323"/>
      <c r="D217" s="417" t="s">
        <v>1041</v>
      </c>
      <c r="E217" s="378" t="n">
        <f aca="false">+VLOOKUP($D217,PREUS!$B$1:$F$589,3,FALSE())</f>
        <v>24.22</v>
      </c>
      <c r="F217" s="378" t="str">
        <f aca="false">+VLOOKUP($D217,PREUS!$B$1:$F$589,4,FALSE())</f>
        <v>u</v>
      </c>
      <c r="G217" s="406" t="n">
        <v>1</v>
      </c>
      <c r="H217" s="404" t="n">
        <f aca="false">E217*G217</f>
        <v>24.22</v>
      </c>
    </row>
    <row r="218" customFormat="false" ht="13.8" hidden="true" customHeight="false" outlineLevel="0" collapsed="false">
      <c r="A218" s="329"/>
      <c r="B218" s="323"/>
      <c r="C218" s="323"/>
      <c r="D218" s="286" t="s">
        <v>1042</v>
      </c>
      <c r="E218" s="378" t="n">
        <f aca="false">+VLOOKUP($D218,PREUS!$B$1:$F$589,3,FALSE())</f>
        <v>31.79</v>
      </c>
      <c r="F218" s="378" t="str">
        <f aca="false">+VLOOKUP($D218,PREUS!$B$1:$F$589,4,FALSE())</f>
        <v>h</v>
      </c>
      <c r="G218" s="406" t="n">
        <v>12</v>
      </c>
      <c r="H218" s="404" t="n">
        <f aca="false">E218*G218</f>
        <v>381.48</v>
      </c>
    </row>
    <row r="219" customFormat="false" ht="13.8" hidden="true" customHeight="false" outlineLevel="0" collapsed="false">
      <c r="A219" s="329"/>
      <c r="B219" s="323"/>
      <c r="C219" s="323"/>
      <c r="D219" s="286" t="s">
        <v>1043</v>
      </c>
      <c r="E219" s="378" t="n">
        <f aca="false">+VLOOKUP($D219,PREUS!$B$1:$F$589,3,FALSE())</f>
        <v>27.36</v>
      </c>
      <c r="F219" s="378" t="str">
        <f aca="false">+VLOOKUP($D219,PREUS!$B$1:$F$589,4,FALSE())</f>
        <v>h</v>
      </c>
      <c r="G219" s="406" t="n">
        <v>8</v>
      </c>
      <c r="H219" s="404" t="n">
        <f aca="false">E219*G219</f>
        <v>218.88</v>
      </c>
    </row>
    <row r="220" customFormat="false" ht="13.8" hidden="true" customHeight="false" outlineLevel="0" collapsed="false">
      <c r="B220" s="323"/>
      <c r="C220" s="323"/>
      <c r="D220" s="286" t="s">
        <v>987</v>
      </c>
      <c r="E220" s="379" t="n">
        <f aca="false">SUM(H214:H219)</f>
        <v>905.74</v>
      </c>
      <c r="F220" s="403" t="s">
        <v>988</v>
      </c>
      <c r="G220" s="405" t="n">
        <v>0.02</v>
      </c>
      <c r="H220" s="404" t="n">
        <f aca="false">E220*G220</f>
        <v>18.1148</v>
      </c>
    </row>
    <row r="221" s="277" customFormat="true" ht="13.8" hidden="true" customHeight="false" outlineLevel="0" collapsed="false">
      <c r="B221" s="355"/>
      <c r="C221" s="355"/>
      <c r="D221" s="351"/>
      <c r="E221" s="352"/>
      <c r="F221" s="352"/>
      <c r="G221" s="352"/>
      <c r="H221" s="359"/>
      <c r="I221" s="360"/>
      <c r="M221" s="0"/>
      <c r="N221" s="0"/>
    </row>
    <row r="222" s="277" customFormat="true" ht="13.8" hidden="false" customHeight="false" outlineLevel="0" collapsed="false">
      <c r="B222" s="355"/>
      <c r="C222" s="355"/>
      <c r="D222" s="351"/>
      <c r="E222" s="352"/>
      <c r="F222" s="352"/>
      <c r="G222" s="352"/>
      <c r="H222" s="359"/>
      <c r="I222" s="360"/>
      <c r="M222" s="0"/>
      <c r="N222" s="0"/>
    </row>
    <row r="223" customFormat="false" ht="13.8" hidden="false" customHeight="false" outlineLevel="0" collapsed="false">
      <c r="A223" s="286" t="s">
        <v>161</v>
      </c>
      <c r="B223" s="337"/>
      <c r="C223" s="337" t="str">
        <f aca="false">+VLOOKUP($A223,BASEdades!$A$3:$AA$283,3,FALSE())</f>
        <v>ut</v>
      </c>
      <c r="D223" s="338" t="str">
        <f aca="false">+VLOOKUP($A223,BASEdades!$A$3:$AA$283,2,FALSE())</f>
        <v>Porter electrònic</v>
      </c>
      <c r="E223" s="338"/>
      <c r="F223" s="338"/>
      <c r="G223" s="338"/>
      <c r="H223" s="340" t="n">
        <f aca="false">+VLOOKUP($A223,BASEdades!$A$3:$AA$283,7,FALSE())</f>
        <v>367.62</v>
      </c>
      <c r="I223" s="340" t="e">
        <f aca="false">#REF!*H223</f>
        <v>#REF!</v>
      </c>
    </row>
    <row r="224" customFormat="false" ht="75.75" hidden="false" customHeight="true" outlineLevel="0" collapsed="false">
      <c r="A224" s="329"/>
      <c r="B224" s="323"/>
      <c r="C224" s="323"/>
      <c r="D224" s="353" t="str">
        <f aca="false">+VLOOKUP($A223,BASEdades!$A$3:$AA$283,4,FALSE())</f>
        <v>Instal·lació i posta en servei d'equip de porter electrònic antivandàlic compost de: placa exterior del carrer antivandàlica amb polsador de trucada, font d'alimentació i telèfon. Inclús, obreportes, visera, cablejat i caixes.
</v>
      </c>
      <c r="E224" s="342"/>
      <c r="F224" s="342"/>
      <c r="G224" s="342"/>
      <c r="H224" s="344"/>
      <c r="I224" s="345"/>
    </row>
    <row r="225" customFormat="false" ht="13.8" hidden="false" customHeight="false" outlineLevel="0" collapsed="false">
      <c r="B225" s="323"/>
      <c r="C225" s="323"/>
      <c r="D225" s="346" t="str">
        <f aca="false">+VLOOKUP($A223,BASEdades!$A$3:$AA$283,5,FALSE())</f>
        <v>.</v>
      </c>
      <c r="E225" s="347"/>
      <c r="F225" s="347"/>
      <c r="G225" s="347"/>
      <c r="H225" s="349"/>
    </row>
    <row r="226" customFormat="false" ht="13.8" hidden="true" customHeight="false" outlineLevel="0" collapsed="false">
      <c r="A226" s="329"/>
      <c r="B226" s="368"/>
      <c r="C226" s="368"/>
      <c r="D226" s="286" t="s">
        <v>162</v>
      </c>
      <c r="E226" s="378" t="n">
        <f aca="false">+VLOOKUP($D226,PREUS!$B$1:$F$589,3,FALSE())</f>
        <v>141.08</v>
      </c>
      <c r="F226" s="378" t="str">
        <f aca="false">+VLOOKUP($D226,PREUS!$B$1:$F$589,4,FALSE())</f>
        <v>u</v>
      </c>
      <c r="G226" s="406" t="n">
        <v>1</v>
      </c>
      <c r="H226" s="404" t="n">
        <f aca="false">E226*G226</f>
        <v>141.08</v>
      </c>
      <c r="I226" s="370"/>
    </row>
    <row r="227" customFormat="false" ht="13.8" hidden="true" customHeight="false" outlineLevel="0" collapsed="false">
      <c r="A227" s="329"/>
      <c r="B227" s="323"/>
      <c r="C227" s="323"/>
      <c r="D227" s="286" t="s">
        <v>1039</v>
      </c>
      <c r="E227" s="378" t="n">
        <v>41.88</v>
      </c>
      <c r="F227" s="378" t="s">
        <v>334</v>
      </c>
      <c r="G227" s="406" t="n">
        <v>1</v>
      </c>
      <c r="H227" s="404" t="n">
        <f aca="false">E227*G227</f>
        <v>41.88</v>
      </c>
    </row>
    <row r="228" customFormat="false" ht="13.8" hidden="true" customHeight="false" outlineLevel="0" collapsed="false">
      <c r="A228" s="329"/>
      <c r="B228" s="323"/>
      <c r="C228" s="323"/>
      <c r="D228" s="286" t="s">
        <v>1042</v>
      </c>
      <c r="E228" s="378" t="n">
        <f aca="false">+VLOOKUP($D228,PREUS!$B$1:$F$589,3,FALSE())</f>
        <v>31.79</v>
      </c>
      <c r="F228" s="378" t="str">
        <f aca="false">+VLOOKUP($D228,PREUS!$B$1:$F$589,4,FALSE())</f>
        <v>h</v>
      </c>
      <c r="G228" s="406" t="n">
        <v>3</v>
      </c>
      <c r="H228" s="404" t="n">
        <f aca="false">E228*G228</f>
        <v>95.37</v>
      </c>
    </row>
    <row r="229" customFormat="false" ht="13.8" hidden="true" customHeight="false" outlineLevel="0" collapsed="false">
      <c r="A229" s="329"/>
      <c r="B229" s="323"/>
      <c r="C229" s="323"/>
      <c r="D229" s="286" t="s">
        <v>1043</v>
      </c>
      <c r="E229" s="378" t="n">
        <f aca="false">+VLOOKUP($D229,PREUS!$B$1:$F$589,3,FALSE())</f>
        <v>27.36</v>
      </c>
      <c r="F229" s="378" t="str">
        <f aca="false">+VLOOKUP($D229,PREUS!$B$1:$F$589,4,FALSE())</f>
        <v>h</v>
      </c>
      <c r="G229" s="406" t="n">
        <v>3</v>
      </c>
      <c r="H229" s="404" t="n">
        <f aca="false">E229*G229</f>
        <v>82.08</v>
      </c>
    </row>
    <row r="230" customFormat="false" ht="13.8" hidden="true" customHeight="false" outlineLevel="0" collapsed="false">
      <c r="B230" s="323"/>
      <c r="C230" s="323"/>
      <c r="D230" s="286" t="s">
        <v>987</v>
      </c>
      <c r="E230" s="379" t="n">
        <f aca="false">SUM(H226:H229)</f>
        <v>360.41</v>
      </c>
      <c r="F230" s="403" t="s">
        <v>988</v>
      </c>
      <c r="G230" s="405" t="n">
        <v>0.02</v>
      </c>
      <c r="H230" s="404" t="n">
        <f aca="false">E230*G230</f>
        <v>7.2082</v>
      </c>
    </row>
    <row r="231" s="277" customFormat="true" ht="13.8" hidden="false" customHeight="false" outlineLevel="0" collapsed="false">
      <c r="A231" s="354"/>
      <c r="B231" s="355"/>
      <c r="C231" s="355"/>
      <c r="D231" s="351"/>
      <c r="E231" s="357"/>
      <c r="F231" s="357"/>
      <c r="G231" s="357"/>
      <c r="H231" s="359"/>
      <c r="I231" s="360"/>
      <c r="M231" s="0"/>
      <c r="N231" s="0"/>
    </row>
    <row r="232" customFormat="false" ht="13.8" hidden="false" customHeight="false" outlineLevel="0" collapsed="false">
      <c r="A232" s="286" t="s">
        <v>729</v>
      </c>
      <c r="B232" s="337"/>
      <c r="C232" s="337" t="str">
        <f aca="false">+VLOOKUP($A232,BASEdades!$A$3:$AA$283,3,FALSE())</f>
        <v>kg</v>
      </c>
      <c r="D232" s="338" t="str">
        <f aca="false">+VLOOKUP($A232,BASEdades!$A$3:$AA$283,2,FALSE())</f>
        <v>Acer en perfils laminats en calent</v>
      </c>
      <c r="E232" s="338"/>
      <c r="F232" s="338"/>
      <c r="G232" s="338"/>
      <c r="H232" s="340" t="n">
        <f aca="false">+VLOOKUP($A232,BASEdades!$A$3:$AA$283,7,FALSE())</f>
        <v>3.276</v>
      </c>
      <c r="I232" s="340" t="e">
        <f aca="false">#REF!*H232</f>
        <v>#REF!</v>
      </c>
    </row>
    <row r="233" customFormat="false" ht="68.65" hidden="false" customHeight="false" outlineLevel="0" collapsed="false">
      <c r="A233" s="329"/>
      <c r="B233" s="323"/>
      <c r="C233" s="323"/>
      <c r="D233" s="341" t="str">
        <f aca="false">+VLOOKUP($A232,BASEdades!$A$3:$AA$283,4,FALSE())</f>
        <v>Acer UNE-EN 10025 S275JR, en elements estructurals formats per peces simples de perfils laminats en calent de les sèries L, LD, T, rodó, quadrat, rectangular o platina, acabat amb emprimació antioxidant, col·locats amb unions cargolades en obra, a una altura de més de 3 m.</v>
      </c>
      <c r="E233" s="342"/>
      <c r="F233" s="342"/>
      <c r="G233" s="342"/>
      <c r="H233" s="344"/>
      <c r="I233" s="345"/>
    </row>
    <row r="234" customFormat="false" ht="13.8" hidden="false" customHeight="false" outlineLevel="0" collapsed="false">
      <c r="A234" s="329"/>
      <c r="B234" s="323"/>
      <c r="C234" s="323"/>
      <c r="D234" s="346" t="str">
        <f aca="false">+VLOOKUP($A232,BASEdades!$A$3:$AA$283,5,FALSE())</f>
        <v>.Mides : segons disseny</v>
      </c>
      <c r="E234" s="347"/>
      <c r="F234" s="347"/>
      <c r="G234" s="347"/>
      <c r="H234" s="349"/>
    </row>
    <row r="235" customFormat="false" ht="13.8" hidden="false" customHeight="false" outlineLevel="0" collapsed="false">
      <c r="A235" s="329"/>
      <c r="B235" s="323"/>
      <c r="C235" s="323"/>
      <c r="D235" s="346"/>
      <c r="E235" s="347"/>
      <c r="F235" s="347"/>
      <c r="G235" s="347"/>
      <c r="H235" s="349"/>
    </row>
    <row r="236" customFormat="false" ht="13.8" hidden="true" customHeight="false" outlineLevel="0" collapsed="false">
      <c r="A236" s="329"/>
      <c r="B236" s="323"/>
      <c r="C236" s="323"/>
      <c r="D236" s="286" t="s">
        <v>1044</v>
      </c>
      <c r="E236" s="378" t="n">
        <f aca="false">+VLOOKUP($D236,PREUS!$B$1:$F$589,3,FALSE())</f>
        <v>1.81</v>
      </c>
      <c r="F236" s="378" t="str">
        <f aca="false">+VLOOKUP($D236,PREUS!$B$1:$F$589,4,FALSE())</f>
        <v>kg</v>
      </c>
      <c r="G236" s="348" t="n">
        <v>1</v>
      </c>
      <c r="H236" s="404" t="n">
        <f aca="false">E236*G236</f>
        <v>1.81</v>
      </c>
    </row>
    <row r="237" customFormat="false" ht="13.8" hidden="true" customHeight="false" outlineLevel="0" collapsed="false">
      <c r="A237" s="329"/>
      <c r="B237" s="323"/>
      <c r="C237" s="323"/>
      <c r="D237" s="286" t="s">
        <v>1001</v>
      </c>
      <c r="E237" s="378" t="n">
        <f aca="false">+VLOOKUP($D237,PREUS!$B$1:$F$589,3,FALSE())</f>
        <v>3.42</v>
      </c>
      <c r="F237" s="378" t="str">
        <f aca="false">+VLOOKUP($D237,PREUS!$B$1:$F$589,4,FALSE())</f>
        <v>h</v>
      </c>
      <c r="G237" s="348" t="n">
        <v>0.022</v>
      </c>
      <c r="H237" s="404" t="n">
        <f aca="false">E237*G237</f>
        <v>0.07524</v>
      </c>
    </row>
    <row r="238" customFormat="false" ht="13.8" hidden="true" customHeight="false" outlineLevel="0" collapsed="false">
      <c r="A238" s="329"/>
      <c r="B238" s="323"/>
      <c r="C238" s="323"/>
      <c r="D238" s="286" t="s">
        <v>1002</v>
      </c>
      <c r="E238" s="378" t="n">
        <f aca="false">+VLOOKUP($D238,PREUS!$B$1:$F$589,3,FALSE())</f>
        <v>30.76</v>
      </c>
      <c r="F238" s="378" t="str">
        <f aca="false">+VLOOKUP($D238,PREUS!$B$1:$F$589,4,FALSE())</f>
        <v>h</v>
      </c>
      <c r="G238" s="348" t="n">
        <v>0.0227</v>
      </c>
      <c r="H238" s="404" t="n">
        <f aca="false">E238*G238</f>
        <v>0.698252</v>
      </c>
    </row>
    <row r="239" customFormat="false" ht="13.8" hidden="true" customHeight="false" outlineLevel="0" collapsed="false">
      <c r="A239" s="329"/>
      <c r="B239" s="323"/>
      <c r="C239" s="323"/>
      <c r="D239" s="286" t="s">
        <v>1003</v>
      </c>
      <c r="E239" s="378" t="n">
        <f aca="false">+VLOOKUP($D239,PREUS!$B$1:$F$589,3,FALSE())</f>
        <v>27.36</v>
      </c>
      <c r="F239" s="378" t="str">
        <f aca="false">+VLOOKUP($D239,PREUS!$B$1:$F$589,4,FALSE())</f>
        <v>h</v>
      </c>
      <c r="G239" s="348" t="n">
        <v>0.023</v>
      </c>
      <c r="H239" s="404" t="n">
        <f aca="false">E239*G239</f>
        <v>0.62928</v>
      </c>
    </row>
    <row r="240" customFormat="false" ht="13.8" hidden="true" customHeight="false" outlineLevel="0" collapsed="false">
      <c r="B240" s="323"/>
      <c r="C240" s="323"/>
      <c r="D240" s="286" t="s">
        <v>987</v>
      </c>
      <c r="E240" s="379" t="n">
        <f aca="false">SUM(H236:H239)</f>
        <v>3.212772</v>
      </c>
      <c r="F240" s="403" t="s">
        <v>988</v>
      </c>
      <c r="G240" s="405" t="n">
        <v>0.02</v>
      </c>
      <c r="H240" s="404" t="n">
        <f aca="false">E240*G240</f>
        <v>0.06425544</v>
      </c>
    </row>
    <row r="241" customFormat="false" ht="13.8" hidden="false" customHeight="false" outlineLevel="0" collapsed="false">
      <c r="A241" s="329"/>
      <c r="B241" s="323"/>
      <c r="C241" s="323"/>
      <c r="D241" s="350"/>
      <c r="E241" s="348"/>
      <c r="F241" s="348"/>
      <c r="G241" s="348"/>
      <c r="I241" s="286"/>
    </row>
    <row r="242" customFormat="false" ht="13.8" hidden="false" customHeight="false" outlineLevel="0" collapsed="false">
      <c r="A242" s="286" t="s">
        <v>620</v>
      </c>
      <c r="B242" s="337"/>
      <c r="C242" s="337" t="str">
        <f aca="false">+VLOOKUP($A242,BASEdades!$A$3:$AA$283,3,FALSE())</f>
        <v>ut</v>
      </c>
      <c r="D242" s="338" t="str">
        <f aca="false">+VLOOKUP($A242,BASEdades!$A$3:$AA$283,2,FALSE())</f>
        <v>Entramat de fusta per a façana</v>
      </c>
      <c r="E242" s="338"/>
      <c r="F242" s="338"/>
      <c r="G242" s="338"/>
      <c r="H242" s="340" t="n">
        <f aca="false">+VLOOKUP($A242,BASEdades!$A$3:$AA$283,7,FALSE())</f>
        <v>1075.82</v>
      </c>
      <c r="I242" s="340" t="e">
        <f aca="false">#REF!*H242</f>
        <v>#REF!</v>
      </c>
    </row>
    <row r="243" customFormat="false" ht="78" hidden="false" customHeight="true" outlineLevel="0" collapsed="false">
      <c r="A243" s="329"/>
      <c r="B243" s="323"/>
      <c r="C243" s="323"/>
      <c r="D243" s="341" t="str">
        <f aca="false">+VLOOKUP($A242,BASEdades!$A$3:$AA$283,4,FALSE())</f>
        <v>Subministrament i col.locació de mòdul de pèrgola de fusta de 300x200cm format per un allistonat de fusta de pi de flandes tractat de 44x93mm disposats horitzontalment  i acargolats a rastrells de fusta de 44x93mm. Inclou el muntatge i fixació del mòdul a estructura existent amb tots els elements necessaris. </v>
      </c>
      <c r="E243" s="342"/>
      <c r="F243" s="342"/>
      <c r="G243" s="342"/>
      <c r="H243" s="344"/>
      <c r="I243" s="345"/>
    </row>
    <row r="244" customFormat="false" ht="13.8" hidden="false" customHeight="false" outlineLevel="0" collapsed="false">
      <c r="A244" s="329"/>
      <c r="B244" s="323"/>
      <c r="C244" s="323"/>
      <c r="D244" s="346" t="str">
        <f aca="false">+VLOOKUP($A242,BASEdades!$A$3:$AA$283,5,FALSE())</f>
        <v>.Mides : 200x300cm</v>
      </c>
      <c r="E244" s="347"/>
      <c r="F244" s="347"/>
      <c r="G244" s="347"/>
      <c r="H244" s="349"/>
    </row>
    <row r="245" customFormat="false" ht="13.8" hidden="true" customHeight="false" outlineLevel="0" collapsed="false">
      <c r="A245" s="329"/>
      <c r="B245" s="323"/>
      <c r="C245" s="323"/>
      <c r="D245" s="350" t="s">
        <v>947</v>
      </c>
      <c r="E245" s="348" t="n">
        <v>12</v>
      </c>
      <c r="F245" s="348"/>
      <c r="G245" s="348"/>
      <c r="H245" s="349"/>
    </row>
    <row r="246" customFormat="false" ht="13.8" hidden="false" customHeight="false" outlineLevel="0" collapsed="false">
      <c r="A246" s="329"/>
      <c r="B246" s="323"/>
      <c r="C246" s="323"/>
      <c r="D246" s="350"/>
      <c r="E246" s="348"/>
      <c r="F246" s="348"/>
      <c r="G246" s="348"/>
      <c r="H246" s="349"/>
    </row>
    <row r="247" customFormat="false" ht="13.8" hidden="true" customHeight="false" outlineLevel="0" collapsed="false">
      <c r="B247" s="368"/>
      <c r="C247" s="368"/>
      <c r="D247" s="286" t="s">
        <v>1045</v>
      </c>
      <c r="E247" s="378" t="n">
        <f aca="false">+VLOOKUP($D247,PREUS!$B$1:$F$589,3,FALSE())</f>
        <v>5.198</v>
      </c>
      <c r="F247" s="378" t="str">
        <f aca="false">+VLOOKUP($D247,PREUS!$B$1:$F$589,4,FALSE())</f>
        <v>m</v>
      </c>
      <c r="G247" s="418" t="n">
        <v>44</v>
      </c>
      <c r="H247" s="419" t="n">
        <f aca="false">E247*G247</f>
        <v>228.712</v>
      </c>
    </row>
    <row r="248" customFormat="false" ht="13.8" hidden="true" customHeight="false" outlineLevel="0" collapsed="false">
      <c r="B248" s="368"/>
      <c r="C248" s="368"/>
      <c r="D248" s="286" t="s">
        <v>1046</v>
      </c>
      <c r="E248" s="378" t="n">
        <v>20</v>
      </c>
      <c r="F248" s="378" t="s">
        <v>725</v>
      </c>
      <c r="G248" s="418" t="n">
        <v>0.5</v>
      </c>
      <c r="H248" s="419" t="n">
        <f aca="false">E248*G248</f>
        <v>10</v>
      </c>
    </row>
    <row r="249" customFormat="false" ht="13.8" hidden="true" customHeight="false" outlineLevel="0" collapsed="false">
      <c r="B249" s="368"/>
      <c r="C249" s="368"/>
      <c r="D249" s="416" t="s">
        <v>1047</v>
      </c>
      <c r="E249" s="378" t="n">
        <f aca="false">+VLOOKUP($D249,PREUS!$B$1:$F$589,3,FALSE())</f>
        <v>30.76</v>
      </c>
      <c r="F249" s="378" t="str">
        <f aca="false">+VLOOKUP($D249,PREUS!$B$1:$F$589,4,FALSE())</f>
        <v>h</v>
      </c>
      <c r="G249" s="418" t="n">
        <v>14.4505</v>
      </c>
      <c r="H249" s="419" t="n">
        <f aca="false">E249*G249</f>
        <v>444.49738</v>
      </c>
    </row>
    <row r="250" customFormat="false" ht="13.8" hidden="true" customHeight="false" outlineLevel="0" collapsed="false">
      <c r="B250" s="368"/>
      <c r="C250" s="368"/>
      <c r="D250" s="416" t="s">
        <v>986</v>
      </c>
      <c r="E250" s="378" t="n">
        <f aca="false">+VLOOKUP($D250,PREUS!$B$1:$F$589,3,FALSE())</f>
        <v>25.8</v>
      </c>
      <c r="F250" s="378" t="str">
        <f aca="false">+VLOOKUP($D250,PREUS!$B$1:$F$589,4,FALSE())</f>
        <v>h</v>
      </c>
      <c r="G250" s="418" t="n">
        <v>14.4</v>
      </c>
      <c r="H250" s="419" t="n">
        <f aca="false">E250*G250</f>
        <v>371.52</v>
      </c>
    </row>
    <row r="251" customFormat="false" ht="13.8" hidden="true" customHeight="false" outlineLevel="0" collapsed="false">
      <c r="B251" s="368"/>
      <c r="C251" s="368"/>
      <c r="D251" s="286" t="s">
        <v>987</v>
      </c>
      <c r="E251" s="379" t="n">
        <f aca="false">SUM(H245:H250)</f>
        <v>1054.72938</v>
      </c>
      <c r="F251" s="403" t="s">
        <v>988</v>
      </c>
      <c r="G251" s="405" t="n">
        <v>0.02</v>
      </c>
      <c r="H251" s="419" t="n">
        <f aca="false">E251*G251</f>
        <v>21.0945876</v>
      </c>
    </row>
    <row r="252" customFormat="false" ht="13.8" hidden="false" customHeight="false" outlineLevel="0" collapsed="false">
      <c r="A252" s="329"/>
      <c r="B252" s="323"/>
      <c r="C252" s="323"/>
      <c r="D252" s="350"/>
      <c r="E252" s="348"/>
      <c r="F252" s="348"/>
      <c r="G252" s="348"/>
      <c r="H252" s="349"/>
    </row>
    <row r="253" customFormat="false" ht="13.8" hidden="false" customHeight="false" outlineLevel="0" collapsed="false">
      <c r="A253" s="286" t="s">
        <v>626</v>
      </c>
      <c r="B253" s="337"/>
      <c r="C253" s="337" t="str">
        <f aca="false">+VLOOKUP($A253,BASEdades!$A$3:$AA$283,3,FALSE())</f>
        <v>ut</v>
      </c>
      <c r="D253" s="338" t="str">
        <f aca="false">+VLOOKUP($A253,BASEdades!$A$3:$AA$283,2,FALSE())</f>
        <v>Entramat de fusta per a pèrgola</v>
      </c>
      <c r="E253" s="338"/>
      <c r="F253" s="338"/>
      <c r="G253" s="338"/>
      <c r="H253" s="340" t="n">
        <f aca="false">+VLOOKUP($A253,BASEdades!$A$3:$AA$283,7,FALSE())</f>
        <v>1213.16</v>
      </c>
      <c r="I253" s="340" t="e">
        <f aca="false">#REF!*H253</f>
        <v>#REF!</v>
      </c>
    </row>
    <row r="254" customFormat="false" ht="80.25" hidden="false" customHeight="true" outlineLevel="0" collapsed="false">
      <c r="A254" s="329"/>
      <c r="B254" s="323"/>
      <c r="C254" s="323"/>
      <c r="D254" s="341" t="str">
        <f aca="false">+VLOOKUP($A253,BASEdades!$A$3:$AA$283,4,FALSE())</f>
        <v>Subministrament i col.locació de mòdul de pèrgola de fusta de 300x300cm format per un allistonat de fusta de pi de flandes tractat de 44x93mm disposats verticalment  i acargolats a rastrells de fusta de 44x93mm. Inclou el muntatge i fixació del mòdul a estructura metàl·lica amb tots els elements necessaris. </v>
      </c>
      <c r="E254" s="342"/>
      <c r="F254" s="342"/>
      <c r="G254" s="342"/>
      <c r="H254" s="344"/>
      <c r="I254" s="345"/>
    </row>
    <row r="255" customFormat="false" ht="13.8" hidden="false" customHeight="false" outlineLevel="0" collapsed="false">
      <c r="A255" s="329"/>
      <c r="B255" s="323"/>
      <c r="C255" s="323"/>
      <c r="D255" s="346" t="str">
        <f aca="false">+VLOOKUP($A253,BASEdades!$A$3:$AA$283,5,FALSE())</f>
        <v>.Mides : 300x300cm</v>
      </c>
      <c r="E255" s="347"/>
      <c r="F255" s="347"/>
      <c r="G255" s="347"/>
      <c r="H255" s="349"/>
    </row>
    <row r="256" customFormat="false" ht="13.8" hidden="true" customHeight="false" outlineLevel="0" collapsed="false">
      <c r="A256" s="329"/>
      <c r="B256" s="323"/>
      <c r="C256" s="323"/>
      <c r="D256" s="350" t="s">
        <v>948</v>
      </c>
      <c r="E256" s="348" t="n">
        <v>6</v>
      </c>
      <c r="F256" s="348"/>
      <c r="G256" s="348"/>
      <c r="H256" s="349"/>
    </row>
    <row r="257" customFormat="false" ht="13.8" hidden="false" customHeight="false" outlineLevel="0" collapsed="false">
      <c r="A257" s="329"/>
      <c r="B257" s="323"/>
      <c r="C257" s="323"/>
      <c r="D257" s="350"/>
      <c r="E257" s="348"/>
      <c r="F257" s="348"/>
      <c r="G257" s="348"/>
      <c r="H257" s="349"/>
    </row>
    <row r="258" customFormat="false" ht="13.8" hidden="true" customHeight="false" outlineLevel="0" collapsed="false">
      <c r="B258" s="368"/>
      <c r="C258" s="368"/>
      <c r="D258" s="286" t="s">
        <v>1045</v>
      </c>
      <c r="E258" s="378" t="n">
        <f aca="false">+VLOOKUP($D258,PREUS!$B$1:$F$589,3,FALSE())</f>
        <v>5.198</v>
      </c>
      <c r="F258" s="378" t="str">
        <f aca="false">+VLOOKUP($D258,PREUS!$B$1:$F$589,4,FALSE())</f>
        <v>m</v>
      </c>
      <c r="G258" s="418" t="n">
        <v>72</v>
      </c>
      <c r="H258" s="419" t="n">
        <f aca="false">E258*G258</f>
        <v>374.256</v>
      </c>
    </row>
    <row r="259" customFormat="false" ht="13.8" hidden="true" customHeight="false" outlineLevel="0" collapsed="false">
      <c r="B259" s="368"/>
      <c r="C259" s="368"/>
      <c r="D259" s="286" t="s">
        <v>1046</v>
      </c>
      <c r="E259" s="378" t="n">
        <v>20</v>
      </c>
      <c r="F259" s="378" t="s">
        <v>725</v>
      </c>
      <c r="G259" s="418" t="n">
        <v>0.5</v>
      </c>
      <c r="H259" s="419" t="n">
        <f aca="false">E259*G259</f>
        <v>10</v>
      </c>
    </row>
    <row r="260" customFormat="false" ht="13.8" hidden="true" customHeight="false" outlineLevel="0" collapsed="false">
      <c r="B260" s="368"/>
      <c r="C260" s="368"/>
      <c r="D260" s="416" t="s">
        <v>1047</v>
      </c>
      <c r="E260" s="378" t="n">
        <f aca="false">+VLOOKUP($D260,PREUS!$B$1:$F$589,3,FALSE())</f>
        <v>30.76</v>
      </c>
      <c r="F260" s="378" t="str">
        <f aca="false">+VLOOKUP($D260,PREUS!$B$1:$F$589,4,FALSE())</f>
        <v>h</v>
      </c>
      <c r="G260" s="418" t="n">
        <v>14.4505</v>
      </c>
      <c r="H260" s="419" t="n">
        <f aca="false">E260*G260</f>
        <v>444.49738</v>
      </c>
    </row>
    <row r="261" customFormat="false" ht="13.8" hidden="true" customHeight="false" outlineLevel="0" collapsed="false">
      <c r="B261" s="368"/>
      <c r="C261" s="368"/>
      <c r="D261" s="416" t="s">
        <v>986</v>
      </c>
      <c r="E261" s="378" t="n">
        <f aca="false">+VLOOKUP($D261,PREUS!$B$1:$F$589,3,FALSE())</f>
        <v>25.8</v>
      </c>
      <c r="F261" s="378" t="str">
        <f aca="false">+VLOOKUP($D261,PREUS!$B$1:$F$589,4,FALSE())</f>
        <v>h</v>
      </c>
      <c r="G261" s="418" t="n">
        <v>14</v>
      </c>
      <c r="H261" s="419" t="n">
        <f aca="false">E261*G261</f>
        <v>361.2</v>
      </c>
    </row>
    <row r="262" customFormat="false" ht="13.8" hidden="true" customHeight="false" outlineLevel="0" collapsed="false">
      <c r="B262" s="368"/>
      <c r="C262" s="368"/>
      <c r="D262" s="286" t="s">
        <v>987</v>
      </c>
      <c r="E262" s="379" t="n">
        <f aca="false">SUM(H255:H261)</f>
        <v>1189.95338</v>
      </c>
      <c r="F262" s="403" t="s">
        <v>988</v>
      </c>
      <c r="G262" s="405" t="n">
        <v>0.02</v>
      </c>
      <c r="H262" s="419" t="n">
        <f aca="false">E262*G262</f>
        <v>23.7990676</v>
      </c>
    </row>
    <row r="263" customFormat="false" ht="13.8" hidden="false" customHeight="false" outlineLevel="0" collapsed="false">
      <c r="A263" s="329"/>
      <c r="B263" s="323"/>
      <c r="C263" s="323"/>
      <c r="D263" s="350"/>
      <c r="E263" s="348"/>
      <c r="F263" s="348"/>
      <c r="G263" s="348"/>
      <c r="H263" s="349"/>
    </row>
    <row r="264" customFormat="false" ht="13.8" hidden="false" customHeight="false" outlineLevel="0" collapsed="false">
      <c r="A264" s="286" t="s">
        <v>173</v>
      </c>
      <c r="B264" s="337"/>
      <c r="C264" s="337" t="str">
        <f aca="false">+VLOOKUP($A264,BASEdades!$A$3:$AA$283,3,FALSE())</f>
        <v>m</v>
      </c>
      <c r="D264" s="338" t="str">
        <f aca="false">+VLOOKUP($A264,BASEdades!$A$3:$AA$283,2,FALSE())</f>
        <v>Retirada de tanca de fusta existent</v>
      </c>
      <c r="E264" s="338"/>
      <c r="F264" s="338"/>
      <c r="G264" s="338"/>
      <c r="H264" s="340" t="n">
        <f aca="false">+VLOOKUP($A264,BASEdades!$A$3:$AA$283,7,FALSE())</f>
        <v>20</v>
      </c>
      <c r="I264" s="340" t="e">
        <f aca="false">#REF!*H264</f>
        <v>#REF!</v>
      </c>
    </row>
    <row r="265" customFormat="false" ht="41.75" hidden="false" customHeight="false" outlineLevel="0" collapsed="false">
      <c r="A265" s="329"/>
      <c r="B265" s="323"/>
      <c r="C265" s="323"/>
      <c r="D265" s="341" t="str">
        <f aca="false">+VLOOKUP($A264,BASEdades!$A$3:$AA$283,4,FALSE())</f>
        <v>Retirada de tanca de fusta de fins a 2 m d'alçària, com a màxim, sense enderroc de daus de formigó, a mà i càrrega manual i mecànica de runa sobre camió o contenidor.</v>
      </c>
      <c r="E265" s="342"/>
      <c r="F265" s="342"/>
      <c r="G265" s="342"/>
      <c r="H265" s="344"/>
      <c r="I265" s="345"/>
    </row>
    <row r="266" customFormat="false" ht="13.8" hidden="false" customHeight="false" outlineLevel="0" collapsed="false">
      <c r="A266" s="329"/>
      <c r="B266" s="323"/>
      <c r="C266" s="323"/>
      <c r="D266" s="346" t="str">
        <f aca="false">+VLOOKUP($A264,BASEdades!$A$3:$AA$283,5,FALSE())</f>
        <v>.Mides de la tanca: mòduls 1.5m x 1m </v>
      </c>
      <c r="E266" s="347"/>
      <c r="F266" s="347"/>
      <c r="G266" s="347"/>
      <c r="H266" s="349"/>
    </row>
    <row r="267" customFormat="false" ht="13.8" hidden="true" customHeight="false" outlineLevel="0" collapsed="false">
      <c r="A267" s="329"/>
      <c r="B267" s="323"/>
      <c r="C267" s="323"/>
      <c r="D267" s="286" t="s">
        <v>986</v>
      </c>
      <c r="E267" s="378" t="n">
        <f aca="false">+VLOOKUP($D267,PREUS!$B$1:$F$589,3,FALSE())</f>
        <v>25.8</v>
      </c>
      <c r="F267" s="378" t="str">
        <f aca="false">+VLOOKUP($D267,PREUS!$B$1:$F$589,4,FALSE())</f>
        <v>h</v>
      </c>
      <c r="G267" s="403" t="n">
        <v>0.76</v>
      </c>
      <c r="H267" s="404" t="n">
        <f aca="false">E267*G267</f>
        <v>19.608</v>
      </c>
    </row>
    <row r="268" customFormat="false" ht="13.8" hidden="true" customHeight="false" outlineLevel="0" collapsed="false">
      <c r="B268" s="323"/>
      <c r="C268" s="323"/>
      <c r="D268" s="286" t="s">
        <v>987</v>
      </c>
      <c r="E268" s="379" t="n">
        <f aca="false">SUM(H267)</f>
        <v>19.608</v>
      </c>
      <c r="F268" s="403" t="s">
        <v>988</v>
      </c>
      <c r="G268" s="405" t="n">
        <v>0.02</v>
      </c>
      <c r="H268" s="404" t="n">
        <f aca="false">E268*G268</f>
        <v>0.39216</v>
      </c>
    </row>
    <row r="269" customFormat="false" ht="13.8" hidden="false" customHeight="false" outlineLevel="0" collapsed="false">
      <c r="D269" s="350"/>
    </row>
    <row r="270" customFormat="false" ht="13.8" hidden="false" customHeight="false" outlineLevel="0" collapsed="false">
      <c r="A270" s="286" t="s">
        <v>179</v>
      </c>
      <c r="B270" s="337"/>
      <c r="C270" s="337" t="str">
        <f aca="false">+VLOOKUP($A270,BASEdades!$A$3:$AA$283,3,FALSE())</f>
        <v>ut</v>
      </c>
      <c r="D270" s="338" t="str">
        <f aca="false">+VLOOKUP($A270,BASEdades!$A$3:$AA$283,2,FALSE())</f>
        <v>Retirada joc existent</v>
      </c>
      <c r="E270" s="338"/>
      <c r="F270" s="338"/>
      <c r="G270" s="338"/>
      <c r="H270" s="340" t="n">
        <f aca="false">+VLOOKUP($A270,BASEdades!$A$3:$AA$283,7,FALSE())</f>
        <v>120</v>
      </c>
      <c r="I270" s="340" t="e">
        <f aca="false">#REF!*H270</f>
        <v>#REF!</v>
      </c>
    </row>
    <row r="271" customFormat="false" ht="28.35" hidden="false" customHeight="false" outlineLevel="0" collapsed="false">
      <c r="A271" s="329"/>
      <c r="B271" s="323"/>
      <c r="C271" s="323"/>
      <c r="D271" s="341" t="str">
        <f aca="false">+VLOOKUP($A270,BASEdades!$A$3:$AA$283,4,FALSE())</f>
        <v>Retirada de joc existent, sense enderroc de daus de formigó, a mà i acopi en obra (no inclou recol.locació).</v>
      </c>
      <c r="E271" s="342"/>
      <c r="F271" s="342"/>
      <c r="G271" s="342"/>
      <c r="H271" s="344"/>
      <c r="I271" s="345"/>
    </row>
    <row r="272" customFormat="false" ht="13.8" hidden="false" customHeight="false" outlineLevel="0" collapsed="false">
      <c r="A272" s="329"/>
      <c r="B272" s="323"/>
      <c r="C272" s="323"/>
      <c r="D272" s="346" t="str">
        <f aca="false">+VLOOKUP($A270,BASEdades!$A$3:$AA$283,5,FALSE())</f>
        <v>.Mides del joc: alçada fins 1,5m i àrea màx: 100cm*100cm</v>
      </c>
      <c r="E272" s="347"/>
      <c r="F272" s="347"/>
      <c r="G272" s="347"/>
      <c r="H272" s="349"/>
    </row>
    <row r="273" customFormat="false" ht="13.8" hidden="true" customHeight="false" outlineLevel="0" collapsed="false">
      <c r="A273" s="329"/>
      <c r="B273" s="323"/>
      <c r="C273" s="323"/>
      <c r="D273" s="286" t="s">
        <v>986</v>
      </c>
      <c r="E273" s="378" t="n">
        <f aca="false">+VLOOKUP($D273,PREUS!$B$1:$F$589,3,FALSE())</f>
        <v>25.8</v>
      </c>
      <c r="F273" s="378" t="str">
        <f aca="false">+VLOOKUP($D273,PREUS!$B$1:$F$589,4,FALSE())</f>
        <v>h</v>
      </c>
      <c r="G273" s="403" t="n">
        <v>3.5</v>
      </c>
      <c r="H273" s="404" t="n">
        <f aca="false">E273*G273</f>
        <v>90.3</v>
      </c>
    </row>
    <row r="274" customFormat="false" ht="11.25" hidden="true" customHeight="true" outlineLevel="0" collapsed="false">
      <c r="A274" s="329"/>
      <c r="B274" s="323"/>
      <c r="C274" s="323"/>
      <c r="D274" s="286" t="s">
        <v>1039</v>
      </c>
      <c r="E274" s="378" t="n">
        <v>27.35</v>
      </c>
      <c r="F274" s="378" t="s">
        <v>334</v>
      </c>
      <c r="G274" s="406" t="n">
        <v>1</v>
      </c>
      <c r="H274" s="404" t="n">
        <f aca="false">E274*G274</f>
        <v>27.35</v>
      </c>
    </row>
    <row r="275" customFormat="false" ht="13.8" hidden="true" customHeight="false" outlineLevel="0" collapsed="false">
      <c r="B275" s="323"/>
      <c r="C275" s="323"/>
      <c r="D275" s="286" t="s">
        <v>987</v>
      </c>
      <c r="E275" s="379" t="n">
        <f aca="false">SUM(H273:H274)</f>
        <v>117.65</v>
      </c>
      <c r="F275" s="403" t="s">
        <v>988</v>
      </c>
      <c r="G275" s="405" t="n">
        <v>0.02</v>
      </c>
      <c r="H275" s="404" t="n">
        <f aca="false">E275*G275</f>
        <v>2.353</v>
      </c>
    </row>
    <row r="276" s="277" customFormat="true" ht="13.8" hidden="false" customHeight="false" outlineLevel="0" collapsed="false">
      <c r="D276" s="351"/>
      <c r="H276" s="279"/>
      <c r="I276" s="279"/>
      <c r="M276" s="0"/>
      <c r="N276" s="0"/>
    </row>
    <row r="277" customFormat="false" ht="13.8" hidden="false" customHeight="false" outlineLevel="0" collapsed="false">
      <c r="A277" s="286" t="s">
        <v>176</v>
      </c>
      <c r="B277" s="337"/>
      <c r="C277" s="337" t="str">
        <f aca="false">+VLOOKUP($A277,BASEdades!$A$3:$AA$283,3,FALSE())</f>
        <v>ut</v>
      </c>
      <c r="D277" s="338" t="str">
        <f aca="false">+VLOOKUP($A277,BASEdades!$A$3:$AA$283,2,FALSE())</f>
        <v>Retirada mobiliari existent</v>
      </c>
      <c r="E277" s="338"/>
      <c r="F277" s="338"/>
      <c r="G277" s="338"/>
      <c r="H277" s="340" t="n">
        <f aca="false">+VLOOKUP($A277,BASEdades!$A$3:$AA$283,7,FALSE())</f>
        <v>40</v>
      </c>
      <c r="I277" s="340" t="e">
        <f aca="false">#REF!*H277</f>
        <v>#REF!</v>
      </c>
    </row>
    <row r="278" customFormat="false" ht="41.75" hidden="false" customHeight="false" outlineLevel="0" collapsed="false">
      <c r="A278" s="329"/>
      <c r="B278" s="323"/>
      <c r="C278" s="323"/>
      <c r="D278" s="341" t="str">
        <f aca="false">+VLOOKUP($A277,BASEdades!$A$3:$AA$283,4,FALSE())</f>
        <v>Retirada de mobiliari existent (banc existent, jardineres, taules de picnic,...)  sense enderroc de daus de formigó, a mà i acopi en obra (no inclou recol.locació).</v>
      </c>
      <c r="E278" s="342"/>
      <c r="F278" s="342"/>
      <c r="G278" s="342"/>
      <c r="H278" s="344"/>
      <c r="I278" s="345"/>
    </row>
    <row r="279" customFormat="false" ht="13.8" hidden="false" customHeight="false" outlineLevel="0" collapsed="false">
      <c r="A279" s="329"/>
      <c r="B279" s="323"/>
      <c r="C279" s="323"/>
      <c r="D279" s="346" t="str">
        <f aca="false">+VLOOKUP($A277,BASEdades!$A$3:$AA$283,5,FALSE())</f>
        <v>.</v>
      </c>
      <c r="E279" s="347"/>
      <c r="F279" s="347"/>
      <c r="G279" s="347"/>
      <c r="H279" s="349"/>
    </row>
    <row r="280" customFormat="false" ht="13.8" hidden="true" customHeight="false" outlineLevel="0" collapsed="false">
      <c r="A280" s="329"/>
      <c r="B280" s="323"/>
      <c r="C280" s="323"/>
      <c r="D280" s="286" t="s">
        <v>986</v>
      </c>
      <c r="E280" s="378" t="n">
        <f aca="false">+VLOOKUP($D280,PREUS!$B$1:$F$589,3,FALSE())</f>
        <v>25.8</v>
      </c>
      <c r="F280" s="378" t="str">
        <f aca="false">+VLOOKUP($D280,PREUS!$B$1:$F$589,4,FALSE())</f>
        <v>h</v>
      </c>
      <c r="G280" s="403" t="n">
        <v>1.52</v>
      </c>
      <c r="H280" s="404" t="n">
        <f aca="false">E280*G280</f>
        <v>39.216</v>
      </c>
    </row>
    <row r="281" customFormat="false" ht="13.8" hidden="true" customHeight="false" outlineLevel="0" collapsed="false">
      <c r="B281" s="323"/>
      <c r="C281" s="323"/>
      <c r="D281" s="286" t="s">
        <v>987</v>
      </c>
      <c r="E281" s="379" t="n">
        <f aca="false">SUM(H279:H280)</f>
        <v>39.216</v>
      </c>
      <c r="F281" s="403" t="s">
        <v>988</v>
      </c>
      <c r="G281" s="405" t="n">
        <v>0.02</v>
      </c>
      <c r="H281" s="404" t="n">
        <f aca="false">E281*G281</f>
        <v>0.78432</v>
      </c>
    </row>
    <row r="282" customFormat="false" ht="13.8" hidden="false" customHeight="false" outlineLevel="0" collapsed="false">
      <c r="D282" s="350"/>
    </row>
    <row r="283" customFormat="false" ht="13.8" hidden="false" customHeight="false" outlineLevel="0" collapsed="false">
      <c r="A283" s="286" t="s">
        <v>63</v>
      </c>
      <c r="B283" s="337"/>
      <c r="C283" s="337" t="str">
        <f aca="false">+VLOOKUP($A283,BASEdades!$A$3:$AA$283,3,FALSE())</f>
        <v>m3</v>
      </c>
      <c r="D283" s="338" t="str">
        <f aca="false">+VLOOKUP($A283,BASEdades!$A$3:$AA$283,2,FALSE())</f>
        <v>Demolició de fonamentació de formigó</v>
      </c>
      <c r="E283" s="338"/>
      <c r="F283" s="338"/>
      <c r="G283" s="338"/>
      <c r="H283" s="340" t="n">
        <f aca="false">+VLOOKUP($A283,BASEdades!$A$3:$AA$283,7,FALSE())</f>
        <v>243.76</v>
      </c>
      <c r="I283" s="340" t="e">
        <f aca="false">#REF!*H283</f>
        <v>#REF!</v>
      </c>
    </row>
    <row r="284" customFormat="false" ht="51" hidden="false" customHeight="true" outlineLevel="0" collapsed="false">
      <c r="A284" s="329"/>
      <c r="B284" s="323"/>
      <c r="C284" s="323"/>
      <c r="D284" s="353" t="str">
        <f aca="false">+VLOOKUP($A283,BASEdades!$A$3:$AA$283,4,FALSE())</f>
        <v>Demolició de fonamentació de formigó en massa, per a elements de mobiliari urbà, amb mitjans manuals, martell pneumàtic i càrrega manual sobre camió o contenidor.
</v>
      </c>
      <c r="E284" s="342"/>
      <c r="F284" s="342"/>
      <c r="G284" s="342"/>
      <c r="H284" s="344"/>
      <c r="I284" s="345"/>
    </row>
    <row r="285" customFormat="false" ht="13.8" hidden="false" customHeight="false" outlineLevel="0" collapsed="false">
      <c r="A285" s="329"/>
      <c r="B285" s="323"/>
      <c r="C285" s="323"/>
      <c r="D285" s="346" t="str">
        <f aca="false">+VLOOKUP($A283,BASEdades!$A$3:$AA$283,5,FALSE())</f>
        <v>.</v>
      </c>
      <c r="E285" s="347"/>
      <c r="F285" s="347"/>
      <c r="G285" s="347"/>
      <c r="H285" s="349"/>
    </row>
    <row r="286" customFormat="false" ht="13.8" hidden="true" customHeight="false" outlineLevel="0" collapsed="false">
      <c r="A286" s="329"/>
      <c r="B286" s="323"/>
      <c r="C286" s="323"/>
      <c r="D286" s="286" t="s">
        <v>992</v>
      </c>
      <c r="E286" s="378" t="n">
        <f aca="false">+VLOOKUP($D286,PREUS!$B$1:$F$589,3,FALSE())</f>
        <v>4.57</v>
      </c>
      <c r="F286" s="378" t="str">
        <f aca="false">+VLOOKUP($D286,PREUS!$B$1:$F$589,4,FALSE())</f>
        <v>h</v>
      </c>
      <c r="G286" s="406" t="n">
        <v>4.5</v>
      </c>
      <c r="H286" s="404" t="n">
        <f aca="false">E286*G286</f>
        <v>20.565</v>
      </c>
    </row>
    <row r="287" s="277" customFormat="true" ht="13.8" hidden="true" customHeight="false" outlineLevel="0" collapsed="false">
      <c r="A287" s="354"/>
      <c r="B287" s="323"/>
      <c r="C287" s="323"/>
      <c r="D287" s="286" t="s">
        <v>993</v>
      </c>
      <c r="E287" s="378" t="n">
        <f aca="false">+VLOOKUP($D287,PREUS!$B$1:$F$589,3,FALSE())</f>
        <v>4.27</v>
      </c>
      <c r="F287" s="378" t="str">
        <f aca="false">+VLOOKUP($D287,PREUS!$B$1:$F$589,4,FALSE())</f>
        <v>h</v>
      </c>
      <c r="G287" s="406" t="n">
        <v>2.25</v>
      </c>
      <c r="H287" s="404" t="n">
        <f aca="false">E287*G287</f>
        <v>9.6075</v>
      </c>
      <c r="I287" s="279"/>
      <c r="M287" s="0"/>
      <c r="N287" s="0"/>
    </row>
    <row r="288" s="277" customFormat="true" ht="13.8" hidden="true" customHeight="false" outlineLevel="0" collapsed="false">
      <c r="A288" s="354"/>
      <c r="B288" s="355"/>
      <c r="C288" s="355"/>
      <c r="D288" s="286" t="s">
        <v>986</v>
      </c>
      <c r="E288" s="378" t="n">
        <f aca="false">+VLOOKUP($D288,PREUS!$B$1:$F$589,3,FALSE())</f>
        <v>25.8</v>
      </c>
      <c r="F288" s="378" t="str">
        <f aca="false">+VLOOKUP($D288,PREUS!$B$1:$F$589,4,FALSE())</f>
        <v>h</v>
      </c>
      <c r="G288" s="406" t="n">
        <v>8.093</v>
      </c>
      <c r="H288" s="404" t="n">
        <f aca="false">E288*G288</f>
        <v>208.7994</v>
      </c>
      <c r="I288" s="279"/>
      <c r="M288" s="0"/>
      <c r="N288" s="0"/>
    </row>
    <row r="289" s="277" customFormat="true" ht="13.8" hidden="true" customHeight="false" outlineLevel="0" collapsed="false">
      <c r="B289" s="355"/>
      <c r="C289" s="355"/>
      <c r="D289" s="286" t="s">
        <v>987</v>
      </c>
      <c r="E289" s="379" t="n">
        <f aca="false">SUM(H286:H288)</f>
        <v>238.9719</v>
      </c>
      <c r="F289" s="403" t="s">
        <v>988</v>
      </c>
      <c r="G289" s="405" t="n">
        <v>0.02</v>
      </c>
      <c r="H289" s="404" t="n">
        <f aca="false">E289*G289</f>
        <v>4.779438</v>
      </c>
      <c r="I289" s="279"/>
      <c r="M289" s="0"/>
      <c r="N289" s="0"/>
    </row>
    <row r="290" s="277" customFormat="true" ht="13.8" hidden="false" customHeight="false" outlineLevel="0" collapsed="false">
      <c r="D290" s="351"/>
      <c r="H290" s="279"/>
      <c r="I290" s="279"/>
      <c r="M290" s="0"/>
      <c r="N290" s="0"/>
    </row>
    <row r="291" customFormat="false" ht="13.8" hidden="false" customHeight="false" outlineLevel="0" collapsed="false">
      <c r="A291" s="286" t="s">
        <v>49</v>
      </c>
      <c r="B291" s="337"/>
      <c r="C291" s="337" t="str">
        <f aca="false">+VLOOKUP($A291,BASEdades!$A$3:$AA$283,3,FALSE())</f>
        <v>m</v>
      </c>
      <c r="D291" s="338" t="str">
        <f aca="false">+VLOOKUP($A291,BASEdades!$A$3:$AA$283,2,FALSE())</f>
        <v>Demolició de graó de formigó</v>
      </c>
      <c r="E291" s="338"/>
      <c r="F291" s="338"/>
      <c r="G291" s="338"/>
      <c r="H291" s="340" t="n">
        <f aca="false">+VLOOKUP($A291,BASEdades!$A$3:$AA$283,7,FALSE())</f>
        <v>7.62</v>
      </c>
      <c r="I291" s="340" t="e">
        <f aca="false">#REF!*H291</f>
        <v>#REF!</v>
      </c>
    </row>
    <row r="292" customFormat="false" ht="55.2" hidden="false" customHeight="false" outlineLevel="0" collapsed="false">
      <c r="A292" s="329"/>
      <c r="B292" s="323"/>
      <c r="C292" s="323"/>
      <c r="D292" s="341" t="str">
        <f aca="false">+VLOOKUP($A291,BASEdades!$A$3:$AA$283,4,FALSE())</f>
        <v>Demolició de graó de formigó, inclús la seva base, amb compressor i càrrega manual i mecànica de runa sobre camió o conenidor. Inclou l'enderroc d'estesa i alçada de graó de les mides existents.</v>
      </c>
      <c r="E292" s="342"/>
      <c r="F292" s="342"/>
      <c r="G292" s="342"/>
      <c r="H292" s="344"/>
      <c r="I292" s="345"/>
    </row>
    <row r="293" customFormat="false" ht="13.8" hidden="false" customHeight="false" outlineLevel="0" collapsed="false">
      <c r="A293" s="329"/>
      <c r="B293" s="323"/>
      <c r="C293" s="323"/>
      <c r="D293" s="346" t="s">
        <v>13</v>
      </c>
      <c r="E293" s="347"/>
      <c r="F293" s="347"/>
      <c r="G293" s="347"/>
      <c r="H293" s="349"/>
    </row>
    <row r="294" customFormat="false" ht="13.8" hidden="true" customHeight="false" outlineLevel="0" collapsed="false">
      <c r="A294" s="329"/>
      <c r="B294" s="323"/>
      <c r="C294" s="323"/>
      <c r="D294" s="286" t="s">
        <v>992</v>
      </c>
      <c r="E294" s="378" t="n">
        <f aca="false">+VLOOKUP($D294,PREUS!$B$1:$F$589,3,FALSE())</f>
        <v>4.57</v>
      </c>
      <c r="F294" s="378" t="str">
        <f aca="false">+VLOOKUP($D294,PREUS!$B$1:$F$589,4,FALSE())</f>
        <v>h</v>
      </c>
      <c r="G294" s="406" t="n">
        <v>0.216</v>
      </c>
      <c r="H294" s="404" t="n">
        <f aca="false">E294*G294</f>
        <v>0.98712</v>
      </c>
    </row>
    <row r="295" customFormat="false" ht="13.8" hidden="true" customHeight="false" outlineLevel="0" collapsed="false">
      <c r="A295" s="329"/>
      <c r="B295" s="323"/>
      <c r="C295" s="323"/>
      <c r="D295" s="286" t="s">
        <v>993</v>
      </c>
      <c r="E295" s="378" t="n">
        <f aca="false">+VLOOKUP($D295,PREUS!$B$1:$F$589,3,FALSE())</f>
        <v>4.27</v>
      </c>
      <c r="F295" s="378" t="str">
        <f aca="false">+VLOOKUP($D295,PREUS!$B$1:$F$589,4,FALSE())</f>
        <v>h</v>
      </c>
      <c r="G295" s="406" t="n">
        <v>0.216</v>
      </c>
      <c r="H295" s="404" t="n">
        <f aca="false">E295*G295</f>
        <v>0.92232</v>
      </c>
    </row>
    <row r="296" customFormat="false" ht="13.8" hidden="true" customHeight="false" outlineLevel="0" collapsed="false">
      <c r="A296" s="329"/>
      <c r="B296" s="323"/>
      <c r="C296" s="323"/>
      <c r="D296" s="286" t="s">
        <v>986</v>
      </c>
      <c r="E296" s="378" t="n">
        <f aca="false">+VLOOKUP($D296,PREUS!$B$1:$F$589,3,FALSE())</f>
        <v>25.8</v>
      </c>
      <c r="F296" s="378" t="str">
        <f aca="false">+VLOOKUP($D296,PREUS!$B$1:$F$589,4,FALSE())</f>
        <v>h</v>
      </c>
      <c r="G296" s="406" t="n">
        <v>0.2155</v>
      </c>
      <c r="H296" s="404" t="n">
        <f aca="false">E296*G296</f>
        <v>5.5599</v>
      </c>
    </row>
    <row r="297" customFormat="false" ht="13.8" hidden="true" customHeight="false" outlineLevel="0" collapsed="false">
      <c r="B297" s="323"/>
      <c r="C297" s="323"/>
      <c r="D297" s="286" t="s">
        <v>987</v>
      </c>
      <c r="E297" s="379" t="n">
        <f aca="false">SUM(H294:H296)</f>
        <v>7.46934</v>
      </c>
      <c r="F297" s="403" t="s">
        <v>988</v>
      </c>
      <c r="G297" s="405" t="n">
        <v>0.02</v>
      </c>
      <c r="H297" s="404" t="n">
        <f aca="false">E297*G297</f>
        <v>0.1493868</v>
      </c>
    </row>
    <row r="298" s="277" customFormat="true" ht="13.8" hidden="false" customHeight="false" outlineLevel="0" collapsed="false">
      <c r="D298" s="351"/>
      <c r="H298" s="279"/>
      <c r="I298" s="279"/>
      <c r="M298" s="0"/>
      <c r="N298" s="0"/>
    </row>
    <row r="299" customFormat="false" ht="13.8" hidden="false" customHeight="false" outlineLevel="0" collapsed="false">
      <c r="A299" s="286" t="s">
        <v>184</v>
      </c>
      <c r="B299" s="337"/>
      <c r="C299" s="337" t="str">
        <f aca="false">+VLOOKUP($A299,BASEdades!$A$3:$AA$283,3,FALSE())</f>
        <v>ut</v>
      </c>
      <c r="D299" s="338" t="str">
        <f aca="false">+VLOOKUP($A299,BASEdades!$A$3:$AA$283,2,FALSE())</f>
        <v>Recol.lació de mobiliari existent</v>
      </c>
      <c r="E299" s="338"/>
      <c r="F299" s="338"/>
      <c r="G299" s="338"/>
      <c r="H299" s="340" t="n">
        <f aca="false">+VLOOKUP($A299,BASEdades!$A$3:$AA$283,7,FALSE())</f>
        <v>156</v>
      </c>
      <c r="I299" s="340" t="e">
        <f aca="false">#REF!*H299</f>
        <v>#REF!</v>
      </c>
    </row>
    <row r="300" customFormat="false" ht="55.2" hidden="false" customHeight="false" outlineLevel="0" collapsed="false">
      <c r="A300" s="329"/>
      <c r="B300" s="323"/>
      <c r="C300" s="323"/>
      <c r="D300" s="341" t="str">
        <f aca="false">+VLOOKUP($A299,BASEdades!$A$3:$AA$283,4,FALSE())</f>
        <v>Recol.locació de mobiliari existent (banc existent, jardineres, taules de picnic)  sobre paviment, fixat mecànicament. (No inclou la formació de daus de formigó. No inclou reparació de l'element) </v>
      </c>
      <c r="E300" s="342"/>
      <c r="F300" s="342"/>
      <c r="G300" s="342"/>
      <c r="H300" s="344"/>
      <c r="I300" s="345"/>
    </row>
    <row r="301" customFormat="false" ht="13.8" hidden="false" customHeight="false" outlineLevel="0" collapsed="false">
      <c r="A301" s="329"/>
      <c r="B301" s="323"/>
      <c r="C301" s="323"/>
      <c r="D301" s="346" t="str">
        <f aca="false">+VLOOKUP($A299,BASEdades!$A$3:$AA$283,5,FALSE())</f>
        <v>.</v>
      </c>
      <c r="E301" s="347"/>
      <c r="F301" s="347"/>
      <c r="G301" s="347"/>
      <c r="H301" s="349"/>
    </row>
    <row r="302" customFormat="false" ht="13.8" hidden="true" customHeight="false" outlineLevel="0" collapsed="false">
      <c r="A302" s="329"/>
      <c r="B302" s="323"/>
      <c r="C302" s="323"/>
      <c r="D302" s="416" t="s">
        <v>989</v>
      </c>
      <c r="E302" s="378" t="n">
        <f aca="false">+VLOOKUP($D302,PREUS!$B$1:$F$589,3,FALSE())</f>
        <v>30.79</v>
      </c>
      <c r="F302" s="378" t="str">
        <f aca="false">+VLOOKUP($D302,PREUS!$B$1:$F$589,4,FALSE())</f>
        <v>h</v>
      </c>
      <c r="G302" s="403" t="n">
        <v>2</v>
      </c>
      <c r="H302" s="404" t="n">
        <f aca="false">E302*G302</f>
        <v>61.58</v>
      </c>
    </row>
    <row r="303" customFormat="false" ht="13.8" hidden="true" customHeight="false" outlineLevel="0" collapsed="false">
      <c r="A303" s="329"/>
      <c r="B303" s="323"/>
      <c r="C303" s="323"/>
      <c r="D303" s="286" t="s">
        <v>986</v>
      </c>
      <c r="E303" s="378" t="n">
        <f aca="false">+VLOOKUP($D303,PREUS!$B$1:$F$589,3,FALSE())</f>
        <v>25.8</v>
      </c>
      <c r="F303" s="378" t="str">
        <f aca="false">+VLOOKUP($D303,PREUS!$B$1:$F$589,4,FALSE())</f>
        <v>h</v>
      </c>
      <c r="G303" s="403" t="n">
        <v>2</v>
      </c>
      <c r="H303" s="404" t="n">
        <f aca="false">E303*G303</f>
        <v>51.6</v>
      </c>
    </row>
    <row r="304" customFormat="false" ht="11.25" hidden="true" customHeight="true" outlineLevel="0" collapsed="false">
      <c r="A304" s="329"/>
      <c r="B304" s="323"/>
      <c r="C304" s="323"/>
      <c r="D304" s="286" t="s">
        <v>1039</v>
      </c>
      <c r="E304" s="378" t="n">
        <v>40.56</v>
      </c>
      <c r="F304" s="378" t="s">
        <v>334</v>
      </c>
      <c r="G304" s="406" t="n">
        <v>1</v>
      </c>
      <c r="H304" s="404" t="n">
        <f aca="false">E304*G304</f>
        <v>40.56</v>
      </c>
    </row>
    <row r="305" customFormat="false" ht="13.8" hidden="true" customHeight="false" outlineLevel="0" collapsed="false">
      <c r="B305" s="323"/>
      <c r="C305" s="323"/>
      <c r="D305" s="286" t="s">
        <v>987</v>
      </c>
      <c r="E305" s="379" t="n">
        <f aca="false">SUM(H301:H303)</f>
        <v>113.18</v>
      </c>
      <c r="F305" s="403" t="s">
        <v>988</v>
      </c>
      <c r="G305" s="405" t="n">
        <v>0.02</v>
      </c>
      <c r="H305" s="404" t="n">
        <f aca="false">E305*G305</f>
        <v>2.2636</v>
      </c>
    </row>
    <row r="306" s="277" customFormat="true" ht="13.8" hidden="false" customHeight="false" outlineLevel="0" collapsed="false">
      <c r="D306" s="351"/>
      <c r="H306" s="279"/>
      <c r="I306" s="279"/>
      <c r="M306" s="0"/>
      <c r="N306" s="0"/>
    </row>
    <row r="307" customFormat="false" ht="13.8" hidden="false" customHeight="false" outlineLevel="0" collapsed="false">
      <c r="A307" s="286" t="s">
        <v>68</v>
      </c>
      <c r="B307" s="337"/>
      <c r="C307" s="337" t="str">
        <f aca="false">+VLOOKUP($A307,BASEdades!$A$3:$AA$283,3,FALSE())</f>
        <v>m3</v>
      </c>
      <c r="D307" s="338" t="str">
        <f aca="false">+VLOOKUP($A307,BASEdades!$A$3:$AA$283,2,FALSE())</f>
        <v>Rebaix de terreny</v>
      </c>
      <c r="E307" s="338"/>
      <c r="F307" s="338"/>
      <c r="G307" s="338"/>
      <c r="H307" s="340" t="n">
        <f aca="false">+VLOOKUP($A307,BASEdades!$A$3:$AA$283,7,FALSE())</f>
        <v>49</v>
      </c>
      <c r="I307" s="340" t="e">
        <f aca="false">#REF!*H307</f>
        <v>#REF!</v>
      </c>
    </row>
    <row r="308" customFormat="false" ht="41.75" hidden="false" customHeight="false" outlineLevel="0" collapsed="false">
      <c r="A308" s="329"/>
      <c r="B308" s="323"/>
      <c r="C308" s="323"/>
      <c r="D308" s="341" t="str">
        <f aca="false">+VLOOKUP($A307,BASEdades!$A$3:$AA$283,4,FALSE())</f>
        <v>Excavació a cel obert, en terra d'argila semidura, amb mitjans mecànics i càrrega a camió. El preu no inclou el transport dels materials excavats.</v>
      </c>
      <c r="E308" s="342"/>
      <c r="F308" s="342"/>
      <c r="G308" s="342"/>
      <c r="H308" s="344"/>
      <c r="I308" s="345"/>
    </row>
    <row r="309" customFormat="false" ht="13.8" hidden="false" customHeight="false" outlineLevel="0" collapsed="false">
      <c r="A309" s="329"/>
      <c r="B309" s="323"/>
      <c r="C309" s="323"/>
      <c r="D309" s="346" t="str">
        <f aca="false">+VLOOKUP($A307,BASEdades!$A$3:$AA$283,5,FALSE())</f>
        <v>.</v>
      </c>
      <c r="E309" s="347"/>
      <c r="F309" s="347"/>
      <c r="G309" s="347"/>
      <c r="H309" s="349"/>
    </row>
    <row r="310" customFormat="false" ht="13.8" hidden="true" customHeight="false" outlineLevel="0" collapsed="false">
      <c r="A310" s="329"/>
      <c r="B310" s="323"/>
      <c r="C310" s="323"/>
      <c r="D310" s="286" t="s">
        <v>995</v>
      </c>
      <c r="E310" s="378" t="n">
        <f aca="false">+VLOOKUP($D310,PREUS!$B$1:$F$589,3,FALSE())</f>
        <v>41.71</v>
      </c>
      <c r="F310" s="378" t="str">
        <f aca="false">+VLOOKUP($D310,PREUS!$B$1:$F$589,4,FALSE())</f>
        <v>h</v>
      </c>
      <c r="G310" s="406" t="n">
        <v>0.7</v>
      </c>
      <c r="H310" s="404" t="n">
        <f aca="false">E310*G310</f>
        <v>29.197</v>
      </c>
    </row>
    <row r="311" customFormat="false" ht="13.8" hidden="true" customHeight="false" outlineLevel="0" collapsed="false">
      <c r="A311" s="329"/>
      <c r="B311" s="323"/>
      <c r="C311" s="323"/>
      <c r="D311" s="286" t="s">
        <v>991</v>
      </c>
      <c r="E311" s="378" t="n">
        <f aca="false">+VLOOKUP($D311,PREUS!$B$1:$F$589,3,FALSE())</f>
        <v>27.39</v>
      </c>
      <c r="F311" s="378" t="str">
        <f aca="false">+VLOOKUP($D311,PREUS!$B$1:$F$589,4,FALSE())</f>
        <v>h</v>
      </c>
      <c r="G311" s="406" t="n">
        <v>0.688</v>
      </c>
      <c r="H311" s="404" t="n">
        <f aca="false">E311*G311</f>
        <v>18.84432</v>
      </c>
    </row>
    <row r="312" customFormat="false" ht="13.8" hidden="true" customHeight="false" outlineLevel="0" collapsed="false">
      <c r="B312" s="323"/>
      <c r="C312" s="323"/>
      <c r="D312" s="286" t="s">
        <v>987</v>
      </c>
      <c r="E312" s="379" t="n">
        <f aca="false">SUM(H310:H311)</f>
        <v>48.04132</v>
      </c>
      <c r="F312" s="403" t="s">
        <v>988</v>
      </c>
      <c r="G312" s="405" t="n">
        <v>0.02</v>
      </c>
      <c r="H312" s="404" t="n">
        <f aca="false">E312*G312</f>
        <v>0.9608264</v>
      </c>
    </row>
    <row r="313" s="277" customFormat="true" ht="13.8" hidden="false" customHeight="false" outlineLevel="0" collapsed="false">
      <c r="D313" s="351"/>
      <c r="H313" s="279"/>
      <c r="I313" s="279"/>
      <c r="M313" s="0"/>
      <c r="N313" s="0"/>
    </row>
    <row r="314" customFormat="false" ht="13.8" hidden="false" customHeight="false" outlineLevel="0" collapsed="false">
      <c r="A314" s="286" t="s">
        <v>16</v>
      </c>
      <c r="B314" s="337"/>
      <c r="C314" s="337" t="str">
        <f aca="false">+VLOOKUP($A314,BASEdades!$A$3:$AA$283,3,FALSE())</f>
        <v>m3</v>
      </c>
      <c r="D314" s="338" t="str">
        <f aca="false">+VLOOKUP($A314,BASEdades!$A$3:$AA$283,2,FALSE())</f>
        <v>Transport residus</v>
      </c>
      <c r="E314" s="338"/>
      <c r="F314" s="338"/>
      <c r="G314" s="338"/>
      <c r="H314" s="340" t="n">
        <f aca="false">+VLOOKUP($A314,BASEdades!$A$3:$AA$283,7,FALSE())</f>
        <v>18.54</v>
      </c>
      <c r="I314" s="340" t="e">
        <f aca="false">#REF!*H314</f>
        <v>#REF!</v>
      </c>
    </row>
    <row r="315" customFormat="false" ht="76.5" hidden="false" customHeight="true" outlineLevel="0" collapsed="false">
      <c r="A315" s="329"/>
      <c r="B315" s="323"/>
      <c r="C315" s="323"/>
      <c r="D315" s="341" t="str">
        <f aca="false">+VLOOKUP($A314,BASEdades!$A$3:$AA$283,4,FALSE())</f>
        <v>Transport de residus inerts o no especials a instal·lació autorizada de gestió de residus, amb contenidor de qualsevol mida de capacitat, amb un recorregut complert fins a la instal·lació autoritzada de gestió del residu. Es considera un increment de 30% de l'amidament en concepte d'esponjament.</v>
      </c>
      <c r="E315" s="342"/>
      <c r="F315" s="342"/>
      <c r="G315" s="342"/>
      <c r="H315" s="344"/>
      <c r="I315" s="345"/>
    </row>
    <row r="316" customFormat="false" ht="13.8" hidden="false" customHeight="false" outlineLevel="0" collapsed="false">
      <c r="A316" s="329"/>
      <c r="B316" s="323"/>
      <c r="C316" s="323"/>
      <c r="D316" s="346" t="str">
        <f aca="false">+VLOOKUP($A314,BASEdades!$A$3:$AA$283,5,FALSE())</f>
        <v>.</v>
      </c>
      <c r="E316" s="347"/>
      <c r="F316" s="347"/>
      <c r="G316" s="347"/>
      <c r="H316" s="349"/>
    </row>
    <row r="317" customFormat="false" ht="13.8" hidden="true" customHeight="false" outlineLevel="0" collapsed="false">
      <c r="A317" s="329"/>
      <c r="B317" s="323"/>
      <c r="C317" s="323"/>
      <c r="D317" s="286" t="s">
        <v>1048</v>
      </c>
      <c r="E317" s="378" t="n">
        <f aca="false">+VLOOKUP($D317,PREUS!$B$1:$F$589,3,FALSE())</f>
        <v>96.15</v>
      </c>
      <c r="F317" s="378" t="str">
        <f aca="false">+VLOOKUP($D317,PREUS!$B$1:$F$589,4,FALSE())</f>
        <v>h</v>
      </c>
      <c r="G317" s="403" t="n">
        <v>0.189</v>
      </c>
      <c r="H317" s="404" t="n">
        <f aca="false">E317*G317</f>
        <v>18.17235</v>
      </c>
    </row>
    <row r="318" customFormat="false" ht="13.8" hidden="true" customHeight="false" outlineLevel="0" collapsed="false">
      <c r="B318" s="323"/>
      <c r="C318" s="323"/>
      <c r="D318" s="286" t="s">
        <v>987</v>
      </c>
      <c r="E318" s="379" t="n">
        <f aca="false">SUM(H316:H317)</f>
        <v>18.17235</v>
      </c>
      <c r="F318" s="403" t="s">
        <v>988</v>
      </c>
      <c r="G318" s="405" t="n">
        <v>0.02</v>
      </c>
      <c r="H318" s="404" t="n">
        <f aca="false">E318*G318</f>
        <v>0.363447</v>
      </c>
    </row>
    <row r="319" s="277" customFormat="true" ht="13.8" hidden="false" customHeight="false" outlineLevel="0" collapsed="false">
      <c r="B319" s="355"/>
      <c r="C319" s="355"/>
      <c r="D319" s="351"/>
      <c r="E319" s="352"/>
      <c r="F319" s="352"/>
      <c r="G319" s="352"/>
      <c r="H319" s="359"/>
      <c r="I319" s="360"/>
      <c r="M319" s="0"/>
      <c r="N319" s="0"/>
    </row>
    <row r="320" customFormat="false" ht="13.8" hidden="false" customHeight="false" outlineLevel="0" collapsed="false">
      <c r="A320" s="286" t="s">
        <v>20</v>
      </c>
      <c r="B320" s="337"/>
      <c r="C320" s="337" t="str">
        <f aca="false">+VLOOKUP($A320,BASEdades!$A$3:$AA$283,3,FALSE())</f>
        <v>m3</v>
      </c>
      <c r="D320" s="338" t="str">
        <f aca="false">+VLOOKUP($A320,BASEdades!$A$3:$AA$283,2,FALSE())</f>
        <v>Deposició en dipòsit autoritzat</v>
      </c>
      <c r="E320" s="338"/>
      <c r="F320" s="338"/>
      <c r="G320" s="338"/>
      <c r="H320" s="340" t="n">
        <f aca="false">+VLOOKUP($A320,BASEdades!$A$3:$AA$283,7,FALSE())</f>
        <v>20.64</v>
      </c>
      <c r="I320" s="340" t="e">
        <f aca="false">#REF!*H320</f>
        <v>#REF!</v>
      </c>
    </row>
    <row r="321" customFormat="false" ht="78.75" hidden="false" customHeight="true" outlineLevel="0" collapsed="false">
      <c r="A321" s="329"/>
      <c r="B321" s="323"/>
      <c r="C321" s="323"/>
      <c r="D321" s="341" t="str">
        <f aca="false">+VLOOKUP($A320,BASEdades!$A$3:$AA$283,4,FALSE())</f>
        <v>Deposició controlada en dipòsit autoritzat inclòs el cànon sobre la deposició controlada dels residus de la construcció, segons la LLEI 8/2008, de residus barrejats no perillosos, procedents de construcció o demolició. Es considera un increment de 30% de l'amidament en concepte d'esponjament.</v>
      </c>
      <c r="E321" s="342"/>
      <c r="F321" s="342"/>
      <c r="G321" s="342"/>
      <c r="H321" s="344"/>
      <c r="I321" s="345"/>
    </row>
    <row r="322" customFormat="false" ht="13.8" hidden="false" customHeight="false" outlineLevel="0" collapsed="false">
      <c r="B322" s="323"/>
      <c r="C322" s="323"/>
      <c r="D322" s="346" t="str">
        <f aca="false">+VLOOKUP($A320,BASEdades!$A$3:$AA$283,5,FALSE())</f>
        <v>.</v>
      </c>
      <c r="E322" s="347"/>
      <c r="F322" s="347"/>
      <c r="G322" s="347"/>
      <c r="H322" s="349"/>
    </row>
    <row r="323" customFormat="false" ht="13.8" hidden="false" customHeight="false" outlineLevel="0" collapsed="false">
      <c r="B323" s="368"/>
      <c r="C323" s="368"/>
      <c r="D323" s="341"/>
      <c r="E323" s="343"/>
      <c r="F323" s="343"/>
      <c r="G323" s="343"/>
      <c r="H323" s="344"/>
      <c r="I323" s="370"/>
    </row>
    <row r="324" customFormat="false" ht="13.8" hidden="false" customHeight="false" outlineLevel="0" collapsed="false">
      <c r="A324" s="329" t="s">
        <v>274</v>
      </c>
      <c r="B324" s="337"/>
      <c r="C324" s="337" t="str">
        <f aca="false">+VLOOKUP($A324,BASEdades!$A$3:$AA$283,3,FALSE())</f>
        <v>m2</v>
      </c>
      <c r="D324" s="367" t="str">
        <f aca="false">+VLOOKUP($A324,BASEdades!$A$3:$AA$298,2,FALSE())</f>
        <v>Estructura suport de tarimes bloc de formigó</v>
      </c>
      <c r="E324" s="338"/>
      <c r="F324" s="338"/>
      <c r="G324" s="338"/>
      <c r="H324" s="340" t="n">
        <f aca="false">+VLOOKUP($A324,BASEdades!$A$3:$AA$283,7,FALSE())</f>
        <v>44.53</v>
      </c>
      <c r="I324" s="340" t="e">
        <f aca="false">#REF!*H324</f>
        <v>#REF!</v>
      </c>
    </row>
    <row r="325" customFormat="false" ht="32.25" hidden="false" customHeight="true" outlineLevel="0" collapsed="false">
      <c r="B325" s="368"/>
      <c r="C325" s="368"/>
      <c r="D325" s="353" t="str">
        <f aca="false">+VLOOKUP($A324,BASEdades!$A$3:$AA$283,4,FALSE())</f>
        <v>Formació  subestructura de suport per a tarimes fins a 50cm amb peus de bloc de formigó massisat. No inclou revestiment.</v>
      </c>
      <c r="E325" s="341"/>
      <c r="F325" s="341"/>
      <c r="G325" s="341"/>
      <c r="H325" s="344"/>
      <c r="I325" s="370"/>
    </row>
    <row r="326" customFormat="false" ht="14.9" hidden="false" customHeight="false" outlineLevel="0" collapsed="false">
      <c r="B326" s="368"/>
      <c r="C326" s="368"/>
      <c r="D326" s="341" t="str">
        <f aca="false">+VLOOKUP($A324,BASEdades!$A$3:$AA$283,5,FALSE())</f>
        <v>.mides: m2</v>
      </c>
      <c r="E326" s="341"/>
      <c r="F326" s="341"/>
      <c r="G326" s="341"/>
      <c r="H326" s="344"/>
      <c r="I326" s="370"/>
    </row>
    <row r="327" customFormat="false" ht="14.9" hidden="false" customHeight="false" outlineLevel="0" collapsed="false">
      <c r="B327" s="368"/>
      <c r="C327" s="368"/>
      <c r="D327" s="341" t="str">
        <f aca="false">+VLOOKUP($A324,BASEdades!$A$3:$AA$283,6,FALSE())</f>
        <v>.</v>
      </c>
      <c r="E327" s="341"/>
      <c r="F327" s="341"/>
      <c r="G327" s="341"/>
      <c r="H327" s="344"/>
      <c r="I327" s="370"/>
    </row>
    <row r="328" customFormat="false" ht="13.8" hidden="true" customHeight="false" outlineLevel="0" collapsed="false">
      <c r="B328" s="368"/>
      <c r="C328" s="368"/>
      <c r="D328" s="286" t="s">
        <v>1049</v>
      </c>
      <c r="E328" s="378" t="n">
        <f aca="false">+VLOOKUP($D328,PREUS!$B$1:$F$589,3,FALSE())</f>
        <v>0.91</v>
      </c>
      <c r="F328" s="378" t="str">
        <f aca="false">+VLOOKUP($D328,PREUS!$B$1:$F$589,4,FALSE())</f>
        <v>u</v>
      </c>
      <c r="G328" s="406" t="n">
        <v>12.6</v>
      </c>
      <c r="H328" s="420" t="n">
        <f aca="false">E328*G328</f>
        <v>11.466</v>
      </c>
      <c r="I328" s="370"/>
    </row>
    <row r="329" s="277" customFormat="true" ht="13.8" hidden="true" customHeight="false" outlineLevel="0" collapsed="false">
      <c r="B329" s="368"/>
      <c r="C329" s="368"/>
      <c r="D329" s="286" t="s">
        <v>1009</v>
      </c>
      <c r="E329" s="378" t="n">
        <f aca="false">+VLOOKUP($D329,PREUS!$B$1:$F$589,3,FALSE())</f>
        <v>1.5</v>
      </c>
      <c r="F329" s="378" t="str">
        <f aca="false">+VLOOKUP($D329,PREUS!$B$1:$F$589,4,FALSE())</f>
        <v>m3</v>
      </c>
      <c r="G329" s="406" t="n">
        <v>0.004</v>
      </c>
      <c r="H329" s="420" t="n">
        <f aca="false">E329*G329</f>
        <v>0.006</v>
      </c>
      <c r="I329" s="366"/>
      <c r="M329" s="0"/>
      <c r="N329" s="0"/>
    </row>
    <row r="330" s="277" customFormat="true" ht="13.8" hidden="true" customHeight="false" outlineLevel="0" collapsed="false">
      <c r="B330" s="368"/>
      <c r="C330" s="368"/>
      <c r="D330" s="286" t="s">
        <v>1050</v>
      </c>
      <c r="E330" s="378" t="n">
        <f aca="false">+VLOOKUP($D330,PREUS!$B$1:$F$589,3,FALSE())</f>
        <v>115.3</v>
      </c>
      <c r="F330" s="378" t="str">
        <f aca="false">+VLOOKUP($D330,PREUS!$B$1:$F$589,4,FALSE())</f>
        <v>m3</v>
      </c>
      <c r="G330" s="406" t="n">
        <v>0.021</v>
      </c>
      <c r="H330" s="420" t="n">
        <f aca="false">E330*G330</f>
        <v>2.4213</v>
      </c>
      <c r="I330" s="366"/>
      <c r="M330" s="0"/>
      <c r="N330" s="0"/>
    </row>
    <row r="331" s="277" customFormat="true" ht="23.85" hidden="true" customHeight="false" outlineLevel="0" collapsed="false">
      <c r="B331" s="368"/>
      <c r="C331" s="368"/>
      <c r="D331" s="421" t="s">
        <v>1051</v>
      </c>
      <c r="E331" s="378" t="n">
        <f aca="false">+VLOOKUP($D331,PREUS!$B$1:$F$589,3,FALSE())</f>
        <v>1.94</v>
      </c>
      <c r="F331" s="378" t="str">
        <f aca="false">+VLOOKUP($D331,PREUS!$B$1:$F$589,4,FALSE())</f>
        <v>h</v>
      </c>
      <c r="G331" s="406" t="n">
        <v>0.079</v>
      </c>
      <c r="H331" s="420" t="n">
        <f aca="false">E331*G331</f>
        <v>0.15326</v>
      </c>
      <c r="I331" s="366"/>
      <c r="M331" s="0"/>
      <c r="N331" s="0"/>
    </row>
    <row r="332" s="277" customFormat="true" ht="13.8" hidden="true" customHeight="false" outlineLevel="0" collapsed="false">
      <c r="B332" s="368"/>
      <c r="C332" s="368"/>
      <c r="D332" s="416" t="s">
        <v>989</v>
      </c>
      <c r="E332" s="378" t="n">
        <f aca="false">+VLOOKUP($D332,PREUS!$B$1:$F$589,3,FALSE())</f>
        <v>30.79</v>
      </c>
      <c r="F332" s="378" t="str">
        <f aca="false">+VLOOKUP($D332,PREUS!$B$1:$F$589,4,FALSE())</f>
        <v>h</v>
      </c>
      <c r="G332" s="406" t="n">
        <v>0.522</v>
      </c>
      <c r="H332" s="419" t="n">
        <f aca="false">E332*G332</f>
        <v>16.07238</v>
      </c>
      <c r="I332" s="279"/>
      <c r="M332" s="0"/>
      <c r="N332" s="0"/>
    </row>
    <row r="333" s="277" customFormat="true" ht="13.8" hidden="true" customHeight="false" outlineLevel="0" collapsed="false">
      <c r="B333" s="368"/>
      <c r="C333" s="368"/>
      <c r="D333" s="286" t="s">
        <v>986</v>
      </c>
      <c r="E333" s="378" t="n">
        <f aca="false">+VLOOKUP($D333,PREUS!$B$1:$F$589,3,FALSE())</f>
        <v>25.8</v>
      </c>
      <c r="F333" s="378" t="str">
        <f aca="false">+VLOOKUP($D333,PREUS!$B$1:$F$589,4,FALSE())</f>
        <v>h</v>
      </c>
      <c r="G333" s="406" t="n">
        <v>0.5246</v>
      </c>
      <c r="H333" s="419" t="n">
        <f aca="false">E333*G333</f>
        <v>13.53468</v>
      </c>
      <c r="I333" s="279"/>
      <c r="M333" s="0"/>
      <c r="N333" s="0"/>
    </row>
    <row r="334" s="277" customFormat="true" ht="13.8" hidden="true" customHeight="false" outlineLevel="0" collapsed="false">
      <c r="B334" s="368"/>
      <c r="C334" s="368"/>
      <c r="D334" s="286" t="s">
        <v>987</v>
      </c>
      <c r="E334" s="379" t="n">
        <f aca="false">SUM(H328:H333)</f>
        <v>43.65362</v>
      </c>
      <c r="F334" s="403" t="s">
        <v>988</v>
      </c>
      <c r="G334" s="405" t="n">
        <v>0.02</v>
      </c>
      <c r="H334" s="419" t="n">
        <f aca="false">E334*G334</f>
        <v>0.8730724</v>
      </c>
      <c r="I334" s="279"/>
      <c r="M334" s="0"/>
      <c r="N334" s="0"/>
    </row>
    <row r="335" s="277" customFormat="true" ht="13.8" hidden="false" customHeight="false" outlineLevel="0" collapsed="false">
      <c r="B335" s="361"/>
      <c r="C335" s="361"/>
      <c r="D335" s="351"/>
      <c r="E335" s="352"/>
      <c r="F335" s="352"/>
      <c r="G335" s="352"/>
      <c r="H335" s="359"/>
      <c r="I335" s="366"/>
      <c r="M335" s="0"/>
      <c r="N335" s="0"/>
    </row>
    <row r="336" customFormat="false" ht="13.8" hidden="false" customHeight="false" outlineLevel="0" collapsed="false">
      <c r="A336" s="329" t="s">
        <v>261</v>
      </c>
      <c r="B336" s="337"/>
      <c r="C336" s="337" t="str">
        <f aca="false">+VLOOKUP($A336,BASEdades!$A$3:$AA$283,3,FALSE())</f>
        <v>m2</v>
      </c>
      <c r="D336" s="367" t="str">
        <f aca="false">+VLOOKUP($A336,BASEdades!$A$3:$AA$298,2,FALSE())</f>
        <v>Tarima de fusta de pi</v>
      </c>
      <c r="E336" s="338"/>
      <c r="F336" s="338"/>
      <c r="G336" s="338"/>
      <c r="H336" s="340" t="n">
        <f aca="false">+VLOOKUP($A336,BASEdades!$A$3:$AA$283,7,FALSE())</f>
        <v>120</v>
      </c>
      <c r="I336" s="340" t="e">
        <f aca="false">#REF!*H336</f>
        <v>#REF!</v>
      </c>
    </row>
    <row r="337" customFormat="false" ht="62.25" hidden="false" customHeight="true" outlineLevel="0" collapsed="false">
      <c r="B337" s="368"/>
      <c r="C337" s="368"/>
      <c r="D337" s="353" t="str">
        <f aca="false">+VLOOKUP($A336,BASEdades!$A$3:$AA$283,4,FALSE())</f>
        <v>Subministrament i instal·lació de tarima de fusta per a exterior, formada per llistons de fusta massissa de pi tractat a autoclau, fixats mitjançant el sistema de fixació vista, sobre rastrells de fusta de pi, separats 40 cm entre si i fixats a la base existent. </v>
      </c>
      <c r="E337" s="341"/>
      <c r="F337" s="341"/>
      <c r="G337" s="341"/>
      <c r="H337" s="344"/>
      <c r="I337" s="370"/>
    </row>
    <row r="338" customFormat="false" ht="14.9" hidden="false" customHeight="false" outlineLevel="0" collapsed="false">
      <c r="B338" s="368"/>
      <c r="C338" s="368"/>
      <c r="D338" s="341" t="str">
        <f aca="false">+VLOOKUP($A336,BASEdades!$A$3:$AA$283,5,FALSE())</f>
        <v>.mides: m2</v>
      </c>
      <c r="E338" s="341"/>
      <c r="F338" s="341"/>
      <c r="G338" s="341"/>
      <c r="H338" s="344"/>
      <c r="I338" s="370"/>
    </row>
    <row r="339" customFormat="false" ht="14.9" hidden="false" customHeight="false" outlineLevel="0" collapsed="false">
      <c r="B339" s="368"/>
      <c r="C339" s="368"/>
      <c r="D339" s="341" t="str">
        <f aca="false">+VLOOKUP($A336,BASEdades!$A$3:$AA$283,6,FALSE())</f>
        <v>.</v>
      </c>
      <c r="E339" s="348"/>
      <c r="F339" s="348"/>
      <c r="G339" s="348"/>
      <c r="H339" s="344"/>
      <c r="I339" s="370"/>
    </row>
    <row r="340" customFormat="false" ht="13.8" hidden="true" customHeight="false" outlineLevel="0" collapsed="false">
      <c r="B340" s="368"/>
      <c r="C340" s="368"/>
      <c r="D340" s="286" t="s">
        <v>1052</v>
      </c>
      <c r="E340" s="378" t="n">
        <f aca="false">+VLOOKUP($D340,PREUS!$B$1:$F$589,3,FALSE())</f>
        <v>2.7945</v>
      </c>
      <c r="F340" s="378" t="str">
        <f aca="false">+VLOOKUP($D340,PREUS!$B$1:$F$589,4,FALSE())</f>
        <v>m</v>
      </c>
      <c r="G340" s="418" t="n">
        <v>2.1</v>
      </c>
      <c r="H340" s="419" t="n">
        <f aca="false">E340*G340</f>
        <v>5.86845</v>
      </c>
    </row>
    <row r="341" customFormat="false" ht="13.8" hidden="true" customHeight="false" outlineLevel="0" collapsed="false">
      <c r="B341" s="368"/>
      <c r="C341" s="368"/>
      <c r="D341" s="416" t="s">
        <v>1053</v>
      </c>
      <c r="E341" s="378" t="n">
        <f aca="false">+VLOOKUP($D341,PREUS!$B$1:$F$589,3,FALSE())</f>
        <v>1.564</v>
      </c>
      <c r="F341" s="378" t="str">
        <f aca="false">+VLOOKUP($D341,PREUS!$B$1:$F$589,4,FALSE())</f>
        <v>m</v>
      </c>
      <c r="G341" s="418" t="n">
        <v>1.05</v>
      </c>
      <c r="H341" s="419" t="n">
        <f aca="false">E341*G341</f>
        <v>1.6422</v>
      </c>
    </row>
    <row r="342" customFormat="false" ht="13.8" hidden="true" customHeight="false" outlineLevel="0" collapsed="false">
      <c r="B342" s="368"/>
      <c r="C342" s="368"/>
      <c r="D342" s="286" t="s">
        <v>1046</v>
      </c>
      <c r="E342" s="378" t="n">
        <v>20</v>
      </c>
      <c r="F342" s="378" t="str">
        <f aca="false">+VLOOKUP($D342,PREUS!$B$1:$F$589,4,FALSE())</f>
        <v>kg</v>
      </c>
      <c r="G342" s="418" t="n">
        <v>0.5</v>
      </c>
      <c r="H342" s="419" t="n">
        <f aca="false">E342*G342</f>
        <v>10</v>
      </c>
    </row>
    <row r="343" customFormat="false" ht="13.8" hidden="true" customHeight="false" outlineLevel="0" collapsed="false">
      <c r="B343" s="368"/>
      <c r="C343" s="368"/>
      <c r="D343" s="416" t="s">
        <v>1047</v>
      </c>
      <c r="E343" s="378" t="n">
        <f aca="false">+VLOOKUP($D343,PREUS!$B$1:$F$589,3,FALSE())</f>
        <v>30.76</v>
      </c>
      <c r="F343" s="378" t="str">
        <f aca="false">+VLOOKUP($D343,PREUS!$B$1:$F$589,4,FALSE())</f>
        <v>h</v>
      </c>
      <c r="G343" s="418" t="n">
        <v>1.578</v>
      </c>
      <c r="H343" s="419" t="n">
        <f aca="false">E343*G343</f>
        <v>48.53928</v>
      </c>
    </row>
    <row r="344" customFormat="false" ht="13.8" hidden="true" customHeight="false" outlineLevel="0" collapsed="false">
      <c r="B344" s="368"/>
      <c r="C344" s="368"/>
      <c r="D344" s="416" t="s">
        <v>986</v>
      </c>
      <c r="E344" s="378" t="n">
        <f aca="false">+VLOOKUP($D344,PREUS!$B$1:$F$589,3,FALSE())</f>
        <v>25.8</v>
      </c>
      <c r="F344" s="378" t="str">
        <f aca="false">+VLOOKUP($D344,PREUS!$B$1:$F$589,4,FALSE())</f>
        <v>h</v>
      </c>
      <c r="G344" s="418" t="n">
        <v>2</v>
      </c>
      <c r="H344" s="419" t="n">
        <f aca="false">E344*G344</f>
        <v>51.6</v>
      </c>
    </row>
    <row r="345" customFormat="false" ht="13.8" hidden="true" customHeight="false" outlineLevel="0" collapsed="false">
      <c r="B345" s="368"/>
      <c r="C345" s="368"/>
      <c r="D345" s="286" t="s">
        <v>987</v>
      </c>
      <c r="E345" s="379" t="n">
        <f aca="false">SUM(H339:H344)</f>
        <v>117.64993</v>
      </c>
      <c r="F345" s="403" t="s">
        <v>988</v>
      </c>
      <c r="G345" s="405" t="n">
        <v>0.02</v>
      </c>
      <c r="H345" s="419" t="n">
        <f aca="false">E345*G345</f>
        <v>2.3529986</v>
      </c>
    </row>
    <row r="346" customFormat="false" ht="13.8" hidden="false" customHeight="false" outlineLevel="0" collapsed="false">
      <c r="B346" s="368"/>
      <c r="C346" s="368"/>
      <c r="D346" s="341"/>
      <c r="E346" s="348"/>
      <c r="F346" s="348"/>
      <c r="G346" s="348"/>
      <c r="H346" s="344"/>
      <c r="I346" s="370"/>
    </row>
    <row r="347" customFormat="false" ht="13.8" hidden="false" customHeight="false" outlineLevel="0" collapsed="false">
      <c r="A347" s="329" t="s">
        <v>277</v>
      </c>
      <c r="B347" s="337"/>
      <c r="C347" s="337" t="str">
        <f aca="false">+VLOOKUP($A347,BASEdades!$A$3:$AA$283,3,FALSE())</f>
        <v>m2</v>
      </c>
      <c r="D347" s="367" t="str">
        <f aca="false">+VLOOKUP($A347,BASEdades!$A$3:$AA$298,2,FALSE())</f>
        <v>Estructura suport de tarimes de fusta</v>
      </c>
      <c r="E347" s="338"/>
      <c r="F347" s="338"/>
      <c r="G347" s="338"/>
      <c r="H347" s="340" t="n">
        <f aca="false">+VLOOKUP($A347,BASEdades!$A$3:$AA$283,7,FALSE())</f>
        <v>69</v>
      </c>
      <c r="I347" s="340" t="e">
        <f aca="false">#REF!*H347</f>
        <v>#REF!</v>
      </c>
    </row>
    <row r="348" customFormat="false" ht="28.35" hidden="false" customHeight="false" outlineLevel="0" collapsed="false">
      <c r="B348" s="368"/>
      <c r="C348" s="368"/>
      <c r="D348" s="353" t="str">
        <f aca="false">+VLOOKUP($A347,BASEdades!$A$3:$AA$283,4,FALSE())</f>
        <v>Formació de subestructura de suport per a tarimes amb rastrells de fusta de pi tractat perfil 69x44cm. No inclou revestiment.</v>
      </c>
      <c r="E348" s="341"/>
      <c r="F348" s="341"/>
      <c r="G348" s="341"/>
      <c r="H348" s="344"/>
      <c r="I348" s="370"/>
    </row>
    <row r="349" customFormat="false" ht="14.9" hidden="false" customHeight="false" outlineLevel="0" collapsed="false">
      <c r="B349" s="368"/>
      <c r="C349" s="368"/>
      <c r="D349" s="341" t="str">
        <f aca="false">+VLOOKUP($A347,BASEdades!$A$3:$AA$283,5,FALSE())</f>
        <v>.mides: m2</v>
      </c>
      <c r="E349" s="341"/>
      <c r="F349" s="341"/>
      <c r="G349" s="341"/>
      <c r="H349" s="344"/>
      <c r="I349" s="370"/>
    </row>
    <row r="350" customFormat="false" ht="14.9" hidden="false" customHeight="false" outlineLevel="0" collapsed="false">
      <c r="B350" s="368"/>
      <c r="C350" s="368"/>
      <c r="D350" s="341" t="str">
        <f aca="false">+VLOOKUP($A347,BASEdades!$A$3:$AA$283,6,FALSE())</f>
        <v>.</v>
      </c>
      <c r="E350" s="348"/>
      <c r="F350" s="348"/>
      <c r="G350" s="348"/>
      <c r="H350" s="344"/>
      <c r="I350" s="370"/>
    </row>
    <row r="351" customFormat="false" ht="13.8" hidden="true" customHeight="false" outlineLevel="0" collapsed="false">
      <c r="B351" s="368"/>
      <c r="C351" s="368"/>
      <c r="D351" s="416" t="s">
        <v>1054</v>
      </c>
      <c r="E351" s="378" t="n">
        <f aca="false">+VLOOKUP($D351,PREUS!$B$1:$F$589,3,FALSE())</f>
        <v>4.071</v>
      </c>
      <c r="F351" s="378" t="str">
        <f aca="false">+VLOOKUP($D351,PREUS!$B$1:$F$589,4,FALSE())</f>
        <v>m</v>
      </c>
      <c r="G351" s="418" t="n">
        <v>2.1</v>
      </c>
      <c r="H351" s="419" t="n">
        <f aca="false">E351*G351</f>
        <v>8.5491</v>
      </c>
      <c r="I351" s="370"/>
    </row>
    <row r="352" customFormat="false" ht="13.8" hidden="true" customHeight="false" outlineLevel="0" collapsed="false">
      <c r="B352" s="368"/>
      <c r="C352" s="368"/>
      <c r="D352" s="286" t="s">
        <v>1046</v>
      </c>
      <c r="E352" s="378" t="n">
        <v>20</v>
      </c>
      <c r="F352" s="378" t="str">
        <f aca="false">+VLOOKUP($D352,PREUS!$B$1:$F$589,4,FALSE())</f>
        <v>kg</v>
      </c>
      <c r="G352" s="418" t="n">
        <v>0.5</v>
      </c>
      <c r="H352" s="419" t="n">
        <f aca="false">E352*G352</f>
        <v>10</v>
      </c>
    </row>
    <row r="353" customFormat="false" ht="13.8" hidden="true" customHeight="false" outlineLevel="0" collapsed="false">
      <c r="B353" s="368"/>
      <c r="C353" s="368"/>
      <c r="D353" s="416" t="s">
        <v>1047</v>
      </c>
      <c r="E353" s="378" t="n">
        <f aca="false">+VLOOKUP($D353,PREUS!$B$1:$F$589,3,FALSE())</f>
        <v>30.76</v>
      </c>
      <c r="F353" s="378" t="str">
        <f aca="false">+VLOOKUP($D353,PREUS!$B$1:$F$589,4,FALSE())</f>
        <v>h</v>
      </c>
      <c r="G353" s="418" t="n">
        <v>0.87</v>
      </c>
      <c r="H353" s="419" t="n">
        <f aca="false">E353*G353</f>
        <v>26.7612</v>
      </c>
    </row>
    <row r="354" customFormat="false" ht="13.8" hidden="true" customHeight="false" outlineLevel="0" collapsed="false">
      <c r="B354" s="368"/>
      <c r="C354" s="368"/>
      <c r="D354" s="416" t="s">
        <v>986</v>
      </c>
      <c r="E354" s="378" t="n">
        <f aca="false">+VLOOKUP($D354,PREUS!$B$1:$F$589,3,FALSE())</f>
        <v>25.8</v>
      </c>
      <c r="F354" s="378" t="str">
        <f aca="false">+VLOOKUP($D354,PREUS!$B$1:$F$589,4,FALSE())</f>
        <v>h</v>
      </c>
      <c r="G354" s="418" t="n">
        <v>0.8658</v>
      </c>
      <c r="H354" s="419" t="n">
        <f aca="false">E354*G354</f>
        <v>22.33764</v>
      </c>
    </row>
    <row r="355" customFormat="false" ht="13.8" hidden="true" customHeight="false" outlineLevel="0" collapsed="false">
      <c r="B355" s="368"/>
      <c r="C355" s="368"/>
      <c r="D355" s="286" t="s">
        <v>987</v>
      </c>
      <c r="E355" s="379" t="n">
        <f aca="false">SUM(H349:H354)</f>
        <v>67.64794</v>
      </c>
      <c r="F355" s="403" t="s">
        <v>988</v>
      </c>
      <c r="G355" s="405" t="n">
        <v>0.02</v>
      </c>
      <c r="H355" s="419" t="n">
        <f aca="false">E355*G355</f>
        <v>1.3529588</v>
      </c>
    </row>
    <row r="356" customFormat="false" ht="13.8" hidden="false" customHeight="false" outlineLevel="0" collapsed="false">
      <c r="B356" s="368"/>
      <c r="C356" s="368"/>
      <c r="D356" s="350"/>
      <c r="E356" s="348"/>
      <c r="F356" s="348"/>
      <c r="G356" s="348"/>
      <c r="H356" s="344"/>
      <c r="I356" s="370"/>
    </row>
    <row r="357" customFormat="false" ht="13.8" hidden="false" customHeight="false" outlineLevel="0" collapsed="false">
      <c r="A357" s="329" t="s">
        <v>191</v>
      </c>
      <c r="B357" s="337"/>
      <c r="C357" s="337" t="str">
        <f aca="false">+VLOOKUP($A357,BASEdades!$A$3:$AA$283,3,FALSE())</f>
        <v>m3</v>
      </c>
      <c r="D357" s="367" t="str">
        <f aca="false">+VLOOKUP($A357,BASEdades!$A$3:$AA$298,2,FALSE())</f>
        <v>Formació de desnivell</v>
      </c>
      <c r="E357" s="338"/>
      <c r="F357" s="338"/>
      <c r="G357" s="338"/>
      <c r="H357" s="340" t="n">
        <f aca="false">+VLOOKUP($A357,BASEdades!$A$3:$AA$283,7,FALSE())</f>
        <v>88</v>
      </c>
      <c r="I357" s="340" t="e">
        <f aca="false">#REF!*H357</f>
        <v>#REF!</v>
      </c>
    </row>
    <row r="358" customFormat="false" ht="68.65" hidden="false" customHeight="false" outlineLevel="0" collapsed="false">
      <c r="B358" s="368"/>
      <c r="C358" s="368"/>
      <c r="D358" s="353" t="str">
        <f aca="false">+VLOOKUP($A357,BASEdades!$A$3:$AA$283,4,FALSE())</f>
        <v>Formació de desnivell amb terra barrejada amb una proporció aproximada de 45% argila, 45% sauló i un 10% de matèria orgànica per facilitar la plantació de vegetació  (no inclou gespa ni plantes). Subministrament en big bags i estesa amb mitjans manuals i mecànics.</v>
      </c>
      <c r="E358" s="341"/>
      <c r="F358" s="341"/>
      <c r="G358" s="341"/>
      <c r="H358" s="344"/>
      <c r="I358" s="370"/>
    </row>
    <row r="359" customFormat="false" ht="14.9" hidden="false" customHeight="false" outlineLevel="0" collapsed="false">
      <c r="B359" s="368"/>
      <c r="C359" s="368"/>
      <c r="D359" s="341" t="str">
        <f aca="false">+VLOOKUP($A357,BASEdades!$A$3:$AA$283,5,FALSE())</f>
        <v>.mides: m3</v>
      </c>
      <c r="E359" s="341"/>
      <c r="F359" s="341"/>
      <c r="G359" s="341"/>
      <c r="H359" s="344"/>
      <c r="I359" s="370"/>
    </row>
    <row r="360" customFormat="false" ht="14.9" hidden="false" customHeight="false" outlineLevel="0" collapsed="false">
      <c r="B360" s="368"/>
      <c r="C360" s="368"/>
      <c r="D360" s="341" t="str">
        <f aca="false">+VLOOKUP($A357,BASEdades!$A$3:$AA$283,6,FALSE())</f>
        <v>.</v>
      </c>
      <c r="E360" s="341"/>
      <c r="F360" s="341"/>
      <c r="G360" s="341"/>
      <c r="H360" s="344"/>
      <c r="I360" s="370"/>
    </row>
    <row r="361" customFormat="false" ht="13.8" hidden="true" customHeight="false" outlineLevel="0" collapsed="false">
      <c r="B361" s="368"/>
      <c r="C361" s="368"/>
      <c r="D361" s="416" t="s">
        <v>1055</v>
      </c>
      <c r="E361" s="378" t="n">
        <f aca="false">+VLOOKUP($D361,PREUS!$B$1:$F$589,3,FALSE())</f>
        <v>22.5</v>
      </c>
      <c r="F361" s="378" t="str">
        <f aca="false">+VLOOKUP($D361,PREUS!$B$1:$F$589,4,FALSE())</f>
        <v>m3</v>
      </c>
      <c r="G361" s="418" t="n">
        <v>1.1</v>
      </c>
      <c r="H361" s="419" t="n">
        <f aca="false">E361*G361</f>
        <v>24.75</v>
      </c>
    </row>
    <row r="362" customFormat="false" ht="13.8" hidden="true" customHeight="false" outlineLevel="0" collapsed="false">
      <c r="B362" s="368"/>
      <c r="C362" s="368"/>
      <c r="D362" s="286" t="s">
        <v>1056</v>
      </c>
      <c r="E362" s="378" t="n">
        <f aca="false">+VLOOKUP($D362,PREUS!$B$1:$F$589,3,FALSE())</f>
        <v>90.97</v>
      </c>
      <c r="F362" s="378" t="str">
        <f aca="false">+VLOOKUP($D362,PREUS!$B$1:$F$589,4,FALSE())</f>
        <v>h</v>
      </c>
      <c r="G362" s="418" t="n">
        <v>0.527</v>
      </c>
      <c r="H362" s="419" t="n">
        <f aca="false">E362*G362</f>
        <v>47.94119</v>
      </c>
    </row>
    <row r="363" customFormat="false" ht="13.8" hidden="true" customHeight="false" outlineLevel="0" collapsed="false">
      <c r="B363" s="368"/>
      <c r="C363" s="368"/>
      <c r="D363" s="416" t="s">
        <v>986</v>
      </c>
      <c r="E363" s="378" t="n">
        <f aca="false">+VLOOKUP($D363,PREUS!$B$1:$F$589,3,FALSE())</f>
        <v>25.8</v>
      </c>
      <c r="F363" s="378" t="str">
        <f aca="false">+VLOOKUP($D363,PREUS!$B$1:$F$589,4,FALSE())</f>
        <v>h</v>
      </c>
      <c r="G363" s="418" t="n">
        <v>0.5265</v>
      </c>
      <c r="H363" s="419" t="n">
        <f aca="false">E363*G363</f>
        <v>13.5837</v>
      </c>
    </row>
    <row r="364" customFormat="false" ht="13.8" hidden="true" customHeight="false" outlineLevel="0" collapsed="false">
      <c r="B364" s="368"/>
      <c r="C364" s="368"/>
      <c r="D364" s="286" t="s">
        <v>987</v>
      </c>
      <c r="E364" s="379" t="n">
        <f aca="false">SUM(H360:H363)</f>
        <v>86.27489</v>
      </c>
      <c r="F364" s="403" t="s">
        <v>988</v>
      </c>
      <c r="G364" s="422" t="n">
        <v>0.02</v>
      </c>
      <c r="H364" s="419" t="n">
        <f aca="false">E364*G364</f>
        <v>1.7254978</v>
      </c>
    </row>
    <row r="365" customFormat="false" ht="13.8" hidden="false" customHeight="false" outlineLevel="0" collapsed="false">
      <c r="B365" s="368"/>
      <c r="C365" s="368"/>
      <c r="D365" s="350"/>
      <c r="E365" s="348"/>
      <c r="F365" s="348"/>
      <c r="G365" s="348"/>
      <c r="H365" s="344"/>
      <c r="I365" s="370"/>
    </row>
    <row r="366" customFormat="false" ht="13.8" hidden="false" customHeight="false" outlineLevel="0" collapsed="false">
      <c r="A366" s="329" t="s">
        <v>239</v>
      </c>
      <c r="B366" s="337"/>
      <c r="C366" s="337" t="str">
        <f aca="false">+VLOOKUP($A366,BASEdades!$A$3:$AA$283,3,FALSE())</f>
        <v>m</v>
      </c>
      <c r="D366" s="367" t="str">
        <f aca="false">+VLOOKUP($A366,BASEdades!$A$3:$AA$298,2,FALSE())</f>
        <v>Travesses de pi tractades per exterior</v>
      </c>
      <c r="E366" s="338"/>
      <c r="F366" s="338"/>
      <c r="G366" s="338"/>
      <c r="H366" s="340" t="n">
        <f aca="false">+VLOOKUP($A366,BASEdades!$A$3:$AA$283,7,FALSE())</f>
        <v>43.29</v>
      </c>
      <c r="I366" s="340" t="e">
        <f aca="false">#REF!*H366</f>
        <v>#REF!</v>
      </c>
    </row>
    <row r="367" customFormat="false" ht="92.25" hidden="false" customHeight="true" outlineLevel="0" collapsed="false">
      <c r="B367" s="368"/>
      <c r="C367" s="368"/>
      <c r="D367" s="353" t="str">
        <f aca="false">+VLOOKUP($A366,BASEdades!$A$3:$AA$283,4,FALSE())</f>
        <v>Subministrament i instal·lació de travessa de pi amb els cantos fresats, amb tractament autoclau amb cobertura d'ús 4 segons norma EN-335 de 250x20x10 cm, col·locada horitzontalment sobre el terreny. Inclou p/p de replanteig, excavació manual del terreny, selecció i tall de travesses, replé i compactació del terreny contigu i eliminació i neteja del material sobrant.</v>
      </c>
      <c r="E367" s="341"/>
      <c r="F367" s="341"/>
      <c r="G367" s="341"/>
      <c r="H367" s="344"/>
      <c r="I367" s="370"/>
    </row>
    <row r="368" customFormat="false" ht="14.9" hidden="false" customHeight="false" outlineLevel="0" collapsed="false">
      <c r="B368" s="368"/>
      <c r="C368" s="368"/>
      <c r="D368" s="341" t="str">
        <f aca="false">+VLOOKUP($A366,BASEdades!$A$3:$AA$283,5,FALSE())</f>
        <v>.mides travessa: 250x20x10cm</v>
      </c>
      <c r="E368" s="341"/>
      <c r="F368" s="341"/>
      <c r="G368" s="341"/>
      <c r="H368" s="344"/>
      <c r="I368" s="370"/>
    </row>
    <row r="369" customFormat="false" ht="14.9" hidden="false" customHeight="false" outlineLevel="0" collapsed="false">
      <c r="B369" s="368"/>
      <c r="C369" s="368"/>
      <c r="D369" s="341" t="str">
        <f aca="false">+VLOOKUP($A366,BASEdades!$A$3:$AA$283,6,FALSE())</f>
        <v>.</v>
      </c>
      <c r="E369" s="341"/>
      <c r="F369" s="341"/>
      <c r="G369" s="341"/>
      <c r="H369" s="344"/>
      <c r="I369" s="370"/>
    </row>
    <row r="370" customFormat="false" ht="13.8" hidden="true" customHeight="false" outlineLevel="0" collapsed="false">
      <c r="B370" s="368"/>
      <c r="C370" s="368"/>
      <c r="D370" s="416" t="s">
        <v>240</v>
      </c>
      <c r="E370" s="378" t="n">
        <f aca="false">+VLOOKUP($D370,PREUS!$B$1:$F$589,3,FALSE())</f>
        <v>12.88</v>
      </c>
      <c r="F370" s="378" t="str">
        <f aca="false">+VLOOKUP($D370,PREUS!$B$1:$F$589,4,FALSE())</f>
        <v>m</v>
      </c>
      <c r="G370" s="418" t="n">
        <v>1.05</v>
      </c>
      <c r="H370" s="419" t="n">
        <f aca="false">E370*G370</f>
        <v>13.524</v>
      </c>
    </row>
    <row r="371" customFormat="false" ht="13.8" hidden="true" customHeight="false" outlineLevel="0" collapsed="false">
      <c r="B371" s="368"/>
      <c r="C371" s="368"/>
      <c r="D371" s="286" t="s">
        <v>1046</v>
      </c>
      <c r="E371" s="378" t="n">
        <v>20</v>
      </c>
      <c r="F371" s="378" t="str">
        <f aca="false">+VLOOKUP($D371,PREUS!$B$1:$F$589,4,FALSE())</f>
        <v>kg</v>
      </c>
      <c r="G371" s="418" t="n">
        <v>0.007</v>
      </c>
      <c r="H371" s="419" t="n">
        <f aca="false">E371*G371</f>
        <v>0.14</v>
      </c>
    </row>
    <row r="372" customFormat="false" ht="13.8" hidden="true" customHeight="false" outlineLevel="0" collapsed="false">
      <c r="B372" s="368"/>
      <c r="C372" s="368"/>
      <c r="D372" s="416" t="s">
        <v>1047</v>
      </c>
      <c r="E372" s="378" t="n">
        <f aca="false">+VLOOKUP($D372,PREUS!$B$1:$F$589,3,FALSE())</f>
        <v>30.76</v>
      </c>
      <c r="F372" s="378" t="str">
        <f aca="false">+VLOOKUP($D372,PREUS!$B$1:$F$589,4,FALSE())</f>
        <v>h</v>
      </c>
      <c r="G372" s="418" t="n">
        <v>0.6</v>
      </c>
      <c r="H372" s="419" t="n">
        <f aca="false">E372*G372</f>
        <v>18.456</v>
      </c>
    </row>
    <row r="373" customFormat="false" ht="13.8" hidden="true" customHeight="false" outlineLevel="0" collapsed="false">
      <c r="B373" s="368"/>
      <c r="C373" s="368"/>
      <c r="D373" s="416" t="s">
        <v>986</v>
      </c>
      <c r="E373" s="378" t="n">
        <f aca="false">+VLOOKUP($D373,PREUS!$B$1:$F$589,3,FALSE())</f>
        <v>25.8</v>
      </c>
      <c r="F373" s="378" t="str">
        <f aca="false">+VLOOKUP($D373,PREUS!$B$1:$F$589,4,FALSE())</f>
        <v>h</v>
      </c>
      <c r="G373" s="418" t="n">
        <v>0.4</v>
      </c>
      <c r="H373" s="419" t="n">
        <f aca="false">E373*G373</f>
        <v>10.32</v>
      </c>
    </row>
    <row r="374" customFormat="false" ht="13.8" hidden="true" customHeight="false" outlineLevel="0" collapsed="false">
      <c r="B374" s="368"/>
      <c r="C374" s="368"/>
      <c r="D374" s="286" t="s">
        <v>987</v>
      </c>
      <c r="E374" s="379" t="n">
        <f aca="false">SUM(H368:H373)</f>
        <v>42.44</v>
      </c>
      <c r="F374" s="403" t="s">
        <v>988</v>
      </c>
      <c r="G374" s="422" t="n">
        <v>0.02</v>
      </c>
      <c r="H374" s="419" t="n">
        <f aca="false">E374*G374</f>
        <v>0.8488</v>
      </c>
    </row>
    <row r="375" customFormat="false" ht="13.8" hidden="false" customHeight="false" outlineLevel="0" collapsed="false">
      <c r="B375" s="368"/>
      <c r="C375" s="368"/>
      <c r="D375" s="376"/>
      <c r="E375" s="348"/>
      <c r="F375" s="348"/>
      <c r="G375" s="348"/>
      <c r="H375" s="344"/>
      <c r="I375" s="370"/>
    </row>
    <row r="376" customFormat="false" ht="13.8" hidden="false" customHeight="false" outlineLevel="0" collapsed="false">
      <c r="A376" s="329" t="s">
        <v>708</v>
      </c>
      <c r="B376" s="337"/>
      <c r="C376" s="337" t="str">
        <f aca="false">+VLOOKUP($A376,BASEdades!$A$3:$AA$283,3,FALSE())</f>
        <v>ut</v>
      </c>
      <c r="D376" s="367" t="str">
        <f aca="false">+VLOOKUP($A376,BASEdades!$A$3:$AA$298,2,FALSE())</f>
        <v>Porta de separació </v>
      </c>
      <c r="E376" s="338"/>
      <c r="F376" s="338"/>
      <c r="G376" s="338"/>
      <c r="H376" s="340" t="n">
        <f aca="false">+VLOOKUP($A376,BASEdades!$A$3:$AA$283,7,FALSE())</f>
        <v>616.18</v>
      </c>
      <c r="I376" s="340" t="e">
        <f aca="false">#REF!*H376</f>
        <v>#REF!</v>
      </c>
    </row>
    <row r="377" customFormat="false" ht="82.05" hidden="false" customHeight="false" outlineLevel="0" collapsed="false">
      <c r="B377" s="368"/>
      <c r="C377" s="368"/>
      <c r="D377" s="353" t="str">
        <f aca="false">+VLOOKUP($A376,BASEdades!$A$3:$AA$283,4,FALSE())</f>
        <v>Subministrament i col.locació de porta batent de panel fenòlic (WBP) de mides 60x67cm i Gruix 18mm, amb forats decoratius fixada a 2 muntants laterals de fusta de pi tractat amb autoclau de secció quadrada 7x7cm, de  65cm d'alt acabat i 85cm de separació entre muntants. Inclou les fixacions metàl.liques i muntatge.</v>
      </c>
      <c r="E377" s="341"/>
      <c r="F377" s="341"/>
      <c r="G377" s="341"/>
      <c r="H377" s="344"/>
      <c r="I377" s="370"/>
    </row>
    <row r="378" customFormat="false" ht="14.9" hidden="false" customHeight="false" outlineLevel="0" collapsed="false">
      <c r="B378" s="368"/>
      <c r="C378" s="368"/>
      <c r="D378" s="341" t="str">
        <f aca="false">+VLOOKUP($A376,BASEdades!$A$3:$AA$283,5,FALSE())</f>
        <v>.segons disseny</v>
      </c>
      <c r="E378" s="341"/>
      <c r="F378" s="341"/>
      <c r="G378" s="341"/>
      <c r="H378" s="344"/>
      <c r="I378" s="370"/>
    </row>
    <row r="379" customFormat="false" ht="14.9" hidden="false" customHeight="false" outlineLevel="0" collapsed="false">
      <c r="B379" s="368"/>
      <c r="C379" s="368"/>
      <c r="D379" s="341" t="str">
        <f aca="false">+VLOOKUP($A376,BASEdades!$A$3:$AA$283,6,FALSE())</f>
        <v>.</v>
      </c>
      <c r="E379" s="348"/>
      <c r="F379" s="348"/>
      <c r="G379" s="348"/>
      <c r="H379" s="344"/>
      <c r="I379" s="370"/>
    </row>
    <row r="380" customFormat="false" ht="13.8" hidden="true" customHeight="false" outlineLevel="0" collapsed="false">
      <c r="B380" s="368"/>
      <c r="C380" s="368"/>
      <c r="D380" s="416" t="s">
        <v>1057</v>
      </c>
      <c r="E380" s="378" t="n">
        <f aca="false">+VLOOKUP($D380,PREUS!$B$1:$F$589,3,FALSE())</f>
        <v>45.79</v>
      </c>
      <c r="F380" s="378" t="str">
        <f aca="false">+VLOOKUP($D380,PREUS!$B$1:$F$589,4,FALSE())</f>
        <v>m2</v>
      </c>
      <c r="G380" s="394" t="n">
        <v>2</v>
      </c>
      <c r="H380" s="419" t="n">
        <f aca="false">E380*G380</f>
        <v>91.58</v>
      </c>
    </row>
    <row r="381" customFormat="false" ht="13.8" hidden="true" customHeight="false" outlineLevel="0" collapsed="false">
      <c r="B381" s="368"/>
      <c r="C381" s="368"/>
      <c r="D381" s="416" t="s">
        <v>1058</v>
      </c>
      <c r="E381" s="378" t="n">
        <f aca="false">+VLOOKUP($D381,PREUS!$B$1:$F$589,3,FALSE())</f>
        <v>5.02</v>
      </c>
      <c r="F381" s="378" t="str">
        <f aca="false">+VLOOKUP($D381,PREUS!$B$1:$F$589,4,FALSE())</f>
        <v>m</v>
      </c>
      <c r="G381" s="394" t="n">
        <v>2</v>
      </c>
      <c r="H381" s="419" t="n">
        <f aca="false">E381*G381</f>
        <v>10.04</v>
      </c>
    </row>
    <row r="382" customFormat="false" ht="13.8" hidden="true" customHeight="false" outlineLevel="0" collapsed="false">
      <c r="B382" s="368"/>
      <c r="C382" s="368"/>
      <c r="D382" s="286" t="s">
        <v>1046</v>
      </c>
      <c r="E382" s="378" t="n">
        <v>20</v>
      </c>
      <c r="F382" s="378" t="str">
        <f aca="false">+VLOOKUP($D382,PREUS!$B$1:$F$589,4,FALSE())</f>
        <v>kg</v>
      </c>
      <c r="G382" s="394" t="n">
        <v>0.5</v>
      </c>
      <c r="H382" s="419" t="n">
        <f aca="false">E382*G382</f>
        <v>10</v>
      </c>
    </row>
    <row r="383" customFormat="false" ht="13.8" hidden="true" customHeight="false" outlineLevel="0" collapsed="false">
      <c r="B383" s="368"/>
      <c r="C383" s="368"/>
      <c r="D383" s="286" t="s">
        <v>1059</v>
      </c>
      <c r="E383" s="378" t="n">
        <v>20</v>
      </c>
      <c r="F383" s="378" t="e">
        <f aca="false">+VLOOKUP($D383,PREUS!$B$1:$F$589,4,FALSE())</f>
        <v>#N/A</v>
      </c>
      <c r="G383" s="394" t="n">
        <v>2</v>
      </c>
      <c r="H383" s="419" t="n">
        <f aca="false">E383*G383</f>
        <v>40</v>
      </c>
    </row>
    <row r="384" customFormat="false" ht="13.8" hidden="true" customHeight="false" outlineLevel="0" collapsed="false">
      <c r="B384" s="368"/>
      <c r="C384" s="368"/>
      <c r="D384" s="416" t="s">
        <v>1047</v>
      </c>
      <c r="E384" s="378" t="n">
        <f aca="false">+VLOOKUP($D384,PREUS!$B$1:$F$589,3,FALSE())</f>
        <v>30.76</v>
      </c>
      <c r="F384" s="378" t="str">
        <f aca="false">+VLOOKUP($D384,PREUS!$B$1:$F$589,4,FALSE())</f>
        <v>h</v>
      </c>
      <c r="G384" s="394" t="n">
        <v>8</v>
      </c>
      <c r="H384" s="419" t="n">
        <f aca="false">E384*G384</f>
        <v>246.08</v>
      </c>
    </row>
    <row r="385" customFormat="false" ht="13.8" hidden="true" customHeight="false" outlineLevel="0" collapsed="false">
      <c r="B385" s="368"/>
      <c r="C385" s="368"/>
      <c r="D385" s="416" t="s">
        <v>986</v>
      </c>
      <c r="E385" s="378" t="n">
        <f aca="false">+VLOOKUP($D385,PREUS!$B$1:$F$589,3,FALSE())</f>
        <v>25.8</v>
      </c>
      <c r="F385" s="378" t="str">
        <f aca="false">+VLOOKUP($D385,PREUS!$B$1:$F$589,4,FALSE())</f>
        <v>h</v>
      </c>
      <c r="G385" s="394" t="n">
        <v>8</v>
      </c>
      <c r="H385" s="419" t="n">
        <f aca="false">E385*G385</f>
        <v>206.4</v>
      </c>
    </row>
    <row r="386" customFormat="false" ht="13.8" hidden="true" customHeight="false" outlineLevel="0" collapsed="false">
      <c r="B386" s="368"/>
      <c r="C386" s="368"/>
      <c r="D386" s="286" t="s">
        <v>987</v>
      </c>
      <c r="E386" s="379" t="n">
        <f aca="false">SUM(H380:H385)</f>
        <v>604.1</v>
      </c>
      <c r="F386" s="403" t="s">
        <v>988</v>
      </c>
      <c r="G386" s="422" t="n">
        <v>0.02</v>
      </c>
      <c r="H386" s="419" t="n">
        <f aca="false">E386*G386</f>
        <v>12.082</v>
      </c>
    </row>
    <row r="387" customFormat="false" ht="13.8" hidden="false" customHeight="false" outlineLevel="0" collapsed="false">
      <c r="B387" s="368"/>
      <c r="C387" s="368"/>
      <c r="D387" s="350"/>
      <c r="E387" s="348"/>
      <c r="F387" s="348"/>
      <c r="G387" s="348"/>
      <c r="H387" s="344"/>
      <c r="I387" s="370"/>
    </row>
    <row r="388" customFormat="false" ht="13.8" hidden="false" customHeight="false" outlineLevel="0" collapsed="false">
      <c r="A388" s="329" t="s">
        <v>892</v>
      </c>
      <c r="B388" s="337"/>
      <c r="C388" s="337" t="str">
        <f aca="false">+VLOOKUP($A388,BASEdades!$A$3:$AA$283,3,FALSE())</f>
        <v>ut</v>
      </c>
      <c r="D388" s="367" t="str">
        <f aca="false">+VLOOKUP($A388,BASEdades!$A$3:$AA$298,2,FALSE())</f>
        <v>Tronc escala</v>
      </c>
      <c r="E388" s="338"/>
      <c r="F388" s="338"/>
      <c r="G388" s="338"/>
      <c r="H388" s="340" t="n">
        <f aca="false">+VLOOKUP($A388,BASEdades!$A$3:$AA$283,7,FALSE())</f>
        <v>320</v>
      </c>
      <c r="I388" s="340" t="e">
        <f aca="false">#REF!*H388</f>
        <v>#REF!</v>
      </c>
    </row>
    <row r="389" customFormat="false" ht="14.9" hidden="false" customHeight="false" outlineLevel="0" collapsed="false">
      <c r="B389" s="368"/>
      <c r="C389" s="368"/>
      <c r="D389" s="353" t="str">
        <f aca="false">+VLOOKUP($A388,BASEdades!$A$3:$AA$283,4,FALSE())</f>
        <v>Subministrament i instal.lació de tronc tallat amb graons.</v>
      </c>
      <c r="E389" s="341"/>
      <c r="F389" s="341"/>
      <c r="G389" s="341"/>
      <c r="H389" s="344"/>
      <c r="I389" s="370"/>
    </row>
    <row r="390" customFormat="false" ht="14.9" hidden="false" customHeight="false" outlineLevel="0" collapsed="false">
      <c r="B390" s="368"/>
      <c r="C390" s="368"/>
      <c r="D390" s="341" t="str">
        <f aca="false">+VLOOKUP($A388,BASEdades!$A$3:$AA$283,5,FALSE())</f>
        <v>.mides: Diàmetre 200cm Altura 240cm</v>
      </c>
      <c r="E390" s="341"/>
      <c r="F390" s="341"/>
      <c r="G390" s="341"/>
      <c r="H390" s="344"/>
      <c r="I390" s="370"/>
    </row>
    <row r="391" customFormat="false" ht="14.9" hidden="false" customHeight="false" outlineLevel="0" collapsed="false">
      <c r="B391" s="368"/>
      <c r="C391" s="368"/>
      <c r="D391" s="341" t="str">
        <f aca="false">+VLOOKUP($A388,BASEdades!$A$3:$AA$283,6,FALSE())</f>
        <v>.</v>
      </c>
      <c r="E391" s="348"/>
      <c r="F391" s="348"/>
      <c r="G391" s="348"/>
      <c r="H391" s="344"/>
      <c r="I391" s="370"/>
    </row>
    <row r="392" customFormat="false" ht="13.8" hidden="false" customHeight="false" outlineLevel="0" collapsed="false">
      <c r="B392" s="368"/>
      <c r="C392" s="368"/>
      <c r="D392" s="350"/>
      <c r="E392" s="348"/>
      <c r="F392" s="348"/>
      <c r="G392" s="348"/>
      <c r="H392" s="344"/>
      <c r="I392" s="370"/>
    </row>
    <row r="393" customFormat="false" ht="13.8" hidden="false" customHeight="false" outlineLevel="0" collapsed="false">
      <c r="A393" s="329" t="s">
        <v>565</v>
      </c>
      <c r="B393" s="337"/>
      <c r="C393" s="337" t="str">
        <f aca="false">+VLOOKUP($A393,BASEdades!$A$3:$AA$283,3,FALSE())</f>
        <v>ut</v>
      </c>
      <c r="D393" s="367" t="str">
        <f aca="false">+VLOOKUP($A393,BASEdades!$A$3:$AA$298,2,FALSE())</f>
        <v>Tobogan de polimer H90</v>
      </c>
      <c r="E393" s="338"/>
      <c r="F393" s="338"/>
      <c r="G393" s="338"/>
      <c r="H393" s="340" t="n">
        <f aca="false">+VLOOKUP($A393,BASEdades!$A$3:$AA$283,7,FALSE())</f>
        <v>748</v>
      </c>
      <c r="I393" s="340" t="e">
        <f aca="false">#REF!*H393</f>
        <v>#REF!</v>
      </c>
    </row>
    <row r="394" customFormat="false" ht="41.75" hidden="false" customHeight="false" outlineLevel="0" collapsed="false">
      <c r="B394" s="368"/>
      <c r="C394" s="368"/>
      <c r="D394" s="353" t="str">
        <f aca="false">+VLOOKUP($A393,BASEdades!$A$3:$AA$283,4,FALSE())</f>
        <v>Subministrament i col.locació de tobogan de polimer, moldejat segons rotomoldeo, d'alçada 90cm i amplària 66cm. Color taronja RAL 2010, 100% reciclat</v>
      </c>
      <c r="E394" s="341"/>
      <c r="F394" s="341"/>
      <c r="G394" s="341"/>
      <c r="H394" s="344"/>
      <c r="I394" s="370"/>
    </row>
    <row r="395" customFormat="false" ht="14.9" hidden="false" customHeight="false" outlineLevel="0" collapsed="false">
      <c r="B395" s="368"/>
      <c r="C395" s="368"/>
      <c r="D395" s="341" t="str">
        <f aca="false">+VLOOKUP($A393,BASEdades!$A$3:$AA$283,5,FALSE())</f>
        <v>.Mides del joc: alçada 90cm i 66cm amplada</v>
      </c>
      <c r="E395" s="341"/>
      <c r="F395" s="341"/>
      <c r="G395" s="341"/>
      <c r="H395" s="344"/>
      <c r="I395" s="370"/>
    </row>
    <row r="396" customFormat="false" ht="14.9" hidden="false" customHeight="false" outlineLevel="0" collapsed="false">
      <c r="B396" s="368"/>
      <c r="C396" s="368"/>
      <c r="D396" s="341" t="str">
        <f aca="false">+VLOOKUP($A393,BASEdades!$A$3:$AA$283,6,FALSE())</f>
        <v>.</v>
      </c>
      <c r="E396" s="348"/>
      <c r="F396" s="348"/>
      <c r="G396" s="348"/>
      <c r="H396" s="344"/>
      <c r="I396" s="370"/>
    </row>
    <row r="397" customFormat="false" ht="13.8" hidden="true" customHeight="false" outlineLevel="0" collapsed="false">
      <c r="B397" s="368"/>
      <c r="C397" s="368"/>
      <c r="D397" s="286" t="s">
        <v>1060</v>
      </c>
      <c r="E397" s="379" t="n">
        <f aca="false">+VLOOKUP($D397,PREUS!$B$1:$F$589,3,FALSE())</f>
        <v>498.2835</v>
      </c>
      <c r="F397" s="378" t="str">
        <f aca="false">+VLOOKUP($D397,PREUS!$B$1:$F$589,4,FALSE())</f>
        <v>ut</v>
      </c>
      <c r="G397" s="394" t="n">
        <v>1</v>
      </c>
      <c r="H397" s="419" t="n">
        <f aca="false">E397*G397</f>
        <v>498.2835</v>
      </c>
    </row>
    <row r="398" customFormat="false" ht="13.8" hidden="true" customHeight="false" outlineLevel="0" collapsed="false">
      <c r="B398" s="368"/>
      <c r="C398" s="368"/>
      <c r="D398" s="416" t="s">
        <v>989</v>
      </c>
      <c r="E398" s="378" t="n">
        <f aca="false">+VLOOKUP($D398,PREUS!$B$1:$F$589,3,FALSE())</f>
        <v>30.79</v>
      </c>
      <c r="F398" s="378" t="str">
        <f aca="false">+VLOOKUP($D398,PREUS!$B$1:$F$589,4,FALSE())</f>
        <v>h</v>
      </c>
      <c r="G398" s="394" t="n">
        <v>4</v>
      </c>
      <c r="H398" s="419" t="n">
        <f aca="false">E398*G398</f>
        <v>123.16</v>
      </c>
    </row>
    <row r="399" customFormat="false" ht="13.8" hidden="true" customHeight="false" outlineLevel="0" collapsed="false">
      <c r="B399" s="368"/>
      <c r="C399" s="368"/>
      <c r="D399" s="416" t="s">
        <v>986</v>
      </c>
      <c r="E399" s="378" t="n">
        <f aca="false">+VLOOKUP($D399,PREUS!$B$1:$F$589,3,FALSE())</f>
        <v>25.8</v>
      </c>
      <c r="F399" s="378" t="str">
        <f aca="false">+VLOOKUP($D399,PREUS!$B$1:$F$589,4,FALSE())</f>
        <v>h</v>
      </c>
      <c r="G399" s="394" t="n">
        <v>4</v>
      </c>
      <c r="H399" s="419" t="n">
        <f aca="false">E399*G399</f>
        <v>103.2</v>
      </c>
    </row>
    <row r="400" customFormat="false" ht="13.8" hidden="true" customHeight="false" outlineLevel="0" collapsed="false">
      <c r="B400" s="368"/>
      <c r="C400" s="368"/>
      <c r="D400" s="286" t="s">
        <v>1046</v>
      </c>
      <c r="E400" s="378" t="n">
        <v>20</v>
      </c>
      <c r="F400" s="378" t="str">
        <f aca="false">+VLOOKUP($D400,PREUS!$B$1:$F$589,4,FALSE())</f>
        <v>kg</v>
      </c>
      <c r="G400" s="418" t="n">
        <v>0.4345</v>
      </c>
      <c r="H400" s="419" t="n">
        <f aca="false">E400*G400</f>
        <v>8.69</v>
      </c>
    </row>
    <row r="401" customFormat="false" ht="13.8" hidden="true" customHeight="false" outlineLevel="0" collapsed="false">
      <c r="B401" s="368"/>
      <c r="C401" s="368"/>
      <c r="D401" s="286" t="s">
        <v>987</v>
      </c>
      <c r="E401" s="379" t="n">
        <f aca="false">SUM(H397:H400)</f>
        <v>733.3335</v>
      </c>
      <c r="F401" s="403" t="s">
        <v>988</v>
      </c>
      <c r="G401" s="422" t="n">
        <v>0.02</v>
      </c>
      <c r="H401" s="419" t="n">
        <f aca="false">E401*G401</f>
        <v>14.66667</v>
      </c>
    </row>
    <row r="402" customFormat="false" ht="13.8" hidden="false" customHeight="false" outlineLevel="0" collapsed="false">
      <c r="B402" s="368"/>
      <c r="C402" s="368"/>
      <c r="D402" s="350"/>
      <c r="E402" s="348"/>
      <c r="F402" s="348"/>
      <c r="G402" s="348"/>
      <c r="H402" s="344"/>
      <c r="I402" s="370"/>
    </row>
    <row r="403" customFormat="false" ht="13.8" hidden="false" customHeight="false" outlineLevel="0" collapsed="false">
      <c r="A403" s="329" t="s">
        <v>254</v>
      </c>
      <c r="B403" s="337"/>
      <c r="C403" s="337" t="str">
        <f aca="false">+VLOOKUP($A403,BASEdades!$A$3:$AA$283,3,FALSE())</f>
        <v>ut</v>
      </c>
      <c r="D403" s="367" t="str">
        <f aca="false">+VLOOKUP($A403,BASEdades!$A$3:$AA$298,2,FALSE())</f>
        <v>Troncs verticals</v>
      </c>
      <c r="E403" s="338"/>
      <c r="F403" s="338"/>
      <c r="G403" s="338"/>
      <c r="H403" s="340" t="n">
        <f aca="false">+VLOOKUP($A403,BASEdades!$A$3:$AA$283,7,FALSE())</f>
        <v>19</v>
      </c>
      <c r="I403" s="340" t="e">
        <f aca="false">#REF!*H403</f>
        <v>#REF!</v>
      </c>
    </row>
    <row r="404" customFormat="false" ht="68.65" hidden="false" customHeight="false" outlineLevel="0" collapsed="false">
      <c r="B404" s="368"/>
      <c r="C404" s="368"/>
      <c r="D404" s="353" t="str">
        <f aca="false">+VLOOKUP($A403,BASEdades!$A$3:$AA$283,4,FALSE())</f>
        <v>Subministrament i instal·lació de troncs d'acàcia polits i amb oli d'entre 14 i 24cm de diàmetre, col·locats verticalment sobre el terreny. Inclou p/p de replanteig, excavació manual del terreny, selecció i tall de troncs, replè i compactació del terreny contigu i eliminació i neteja del material sobrant.  Inclou mecanització.</v>
      </c>
      <c r="E404" s="341"/>
      <c r="F404" s="341"/>
      <c r="G404" s="341"/>
      <c r="H404" s="344"/>
      <c r="I404" s="370"/>
    </row>
    <row r="405" customFormat="false" ht="14.9" hidden="false" customHeight="false" outlineLevel="0" collapsed="false">
      <c r="B405" s="368"/>
      <c r="C405" s="368"/>
      <c r="D405" s="341" t="str">
        <f aca="false">+VLOOKUP($A403,BASEdades!$A$3:$AA$283,5,FALSE())</f>
        <v>.mides variades: 25-40cm</v>
      </c>
      <c r="E405" s="341"/>
      <c r="F405" s="341"/>
      <c r="G405" s="341"/>
      <c r="H405" s="344"/>
      <c r="I405" s="370"/>
    </row>
    <row r="406" customFormat="false" ht="14.9" hidden="false" customHeight="false" outlineLevel="0" collapsed="false">
      <c r="B406" s="368"/>
      <c r="C406" s="368"/>
      <c r="D406" s="341" t="str">
        <f aca="false">+VLOOKUP($A403,BASEdades!$A$3:$AA$283,6,FALSE())</f>
        <v>.</v>
      </c>
      <c r="E406" s="348"/>
      <c r="F406" s="348"/>
      <c r="G406" s="348"/>
      <c r="H406" s="344"/>
      <c r="I406" s="370"/>
    </row>
    <row r="407" customFormat="false" ht="13.8" hidden="true" customHeight="false" outlineLevel="0" collapsed="false">
      <c r="B407" s="368"/>
      <c r="C407" s="368"/>
      <c r="D407" s="416" t="s">
        <v>1061</v>
      </c>
      <c r="E407" s="378" t="n">
        <f aca="false">+VLOOKUP($D407,PREUS!$B$1:$F$589,3,FALSE())</f>
        <v>36.4</v>
      </c>
      <c r="F407" s="378" t="str">
        <f aca="false">+VLOOKUP($D407,PREUS!$B$1:$F$589,4,FALSE())</f>
        <v>m</v>
      </c>
      <c r="G407" s="394" t="n">
        <v>0.2</v>
      </c>
      <c r="H407" s="419" t="n">
        <f aca="false">E407*G407</f>
        <v>7.28</v>
      </c>
    </row>
    <row r="408" customFormat="false" ht="13.8" hidden="true" customHeight="false" outlineLevel="0" collapsed="false">
      <c r="B408" s="368"/>
      <c r="C408" s="368"/>
      <c r="D408" s="286" t="s">
        <v>1046</v>
      </c>
      <c r="E408" s="378" t="n">
        <v>20</v>
      </c>
      <c r="F408" s="378" t="str">
        <f aca="false">+VLOOKUP($D408,PREUS!$B$1:$F$589,4,FALSE())</f>
        <v>kg</v>
      </c>
      <c r="G408" s="418" t="n">
        <v>0.044</v>
      </c>
      <c r="H408" s="419" t="n">
        <f aca="false">E408*G408</f>
        <v>0.88</v>
      </c>
    </row>
    <row r="409" customFormat="false" ht="13.8" hidden="true" customHeight="false" outlineLevel="0" collapsed="false">
      <c r="B409" s="368"/>
      <c r="C409" s="368"/>
      <c r="D409" s="416" t="s">
        <v>1047</v>
      </c>
      <c r="E409" s="378" t="n">
        <f aca="false">+VLOOKUP($D409,PREUS!$B$1:$F$589,3,FALSE())</f>
        <v>30.76</v>
      </c>
      <c r="F409" s="378" t="str">
        <f aca="false">+VLOOKUP($D409,PREUS!$B$1:$F$589,4,FALSE())</f>
        <v>h</v>
      </c>
      <c r="G409" s="394" t="n">
        <v>0.185</v>
      </c>
      <c r="H409" s="419" t="n">
        <f aca="false">E409*G409</f>
        <v>5.6906</v>
      </c>
    </row>
    <row r="410" customFormat="false" ht="13.8" hidden="true" customHeight="false" outlineLevel="0" collapsed="false">
      <c r="B410" s="368"/>
      <c r="C410" s="368"/>
      <c r="D410" s="416" t="s">
        <v>986</v>
      </c>
      <c r="E410" s="378" t="n">
        <f aca="false">+VLOOKUP($D410,PREUS!$B$1:$F$589,3,FALSE())</f>
        <v>25.8</v>
      </c>
      <c r="F410" s="378" t="str">
        <f aca="false">+VLOOKUP($D410,PREUS!$B$1:$F$589,4,FALSE())</f>
        <v>h</v>
      </c>
      <c r="G410" s="394" t="n">
        <v>0.185</v>
      </c>
      <c r="H410" s="419" t="n">
        <f aca="false">E410*G410</f>
        <v>4.773</v>
      </c>
    </row>
    <row r="411" customFormat="false" ht="13.8" hidden="true" customHeight="false" outlineLevel="0" collapsed="false">
      <c r="B411" s="368"/>
      <c r="C411" s="368"/>
      <c r="D411" s="286" t="s">
        <v>987</v>
      </c>
      <c r="E411" s="379" t="n">
        <f aca="false">SUM(H407:H410)</f>
        <v>18.6236</v>
      </c>
      <c r="F411" s="403" t="s">
        <v>988</v>
      </c>
      <c r="G411" s="422" t="n">
        <v>0.02</v>
      </c>
      <c r="H411" s="419" t="n">
        <f aca="false">E411*G411</f>
        <v>0.372472</v>
      </c>
    </row>
    <row r="412" customFormat="false" ht="13.8" hidden="false" customHeight="false" outlineLevel="0" collapsed="false">
      <c r="B412" s="368"/>
      <c r="C412" s="368"/>
      <c r="D412" s="350"/>
      <c r="E412" s="348"/>
      <c r="F412" s="348"/>
      <c r="G412" s="348"/>
      <c r="H412" s="344"/>
      <c r="I412" s="370"/>
    </row>
    <row r="413" customFormat="false" ht="13.8" hidden="false" customHeight="false" outlineLevel="0" collapsed="false">
      <c r="A413" s="329" t="s">
        <v>250</v>
      </c>
      <c r="B413" s="337"/>
      <c r="C413" s="337" t="str">
        <f aca="false">+VLOOKUP($A413,BASEdades!$A$3:$AA$283,3,FALSE())</f>
        <v>m</v>
      </c>
      <c r="D413" s="367" t="str">
        <f aca="false">+VLOOKUP($A413,BASEdades!$A$3:$AA$298,2,FALSE())</f>
        <v>Troncs horitzontal</v>
      </c>
      <c r="E413" s="338"/>
      <c r="F413" s="338"/>
      <c r="G413" s="338"/>
      <c r="H413" s="340" t="n">
        <f aca="false">+VLOOKUP($A413,BASEdades!$A$3:$AA$283,7,FALSE())</f>
        <v>58</v>
      </c>
      <c r="I413" s="340" t="e">
        <f aca="false">#REF!*H413</f>
        <v>#REF!</v>
      </c>
    </row>
    <row r="414" customFormat="false" ht="82.05" hidden="false" customHeight="false" outlineLevel="0" collapsed="false">
      <c r="B414" s="368"/>
      <c r="C414" s="368"/>
      <c r="D414" s="353" t="str">
        <f aca="false">+VLOOKUP($A413,BASEdades!$A$3:$AA$283,4,FALSE())</f>
        <v>Subministrament i instal·lació de troncs d'acàcia polits i amb oli d'entre 14 i 24cm de diàmetre, col·locats horitzontalment sobre el terreny. Inclou p/p de replanteig, excavació manual del terreny, selecció i tall de troncs, replè i compactació del terreny contigu i eliminació i neteja del material sobrant.  Inclou mecanització.</v>
      </c>
      <c r="E414" s="341"/>
      <c r="F414" s="341"/>
      <c r="G414" s="341"/>
      <c r="H414" s="344"/>
      <c r="I414" s="370"/>
    </row>
    <row r="415" customFormat="false" ht="14.9" hidden="false" customHeight="false" outlineLevel="0" collapsed="false">
      <c r="B415" s="368"/>
      <c r="C415" s="368"/>
      <c r="D415" s="341" t="str">
        <f aca="false">+VLOOKUP($A413,BASEdades!$A$3:$AA$283,5,FALSE())</f>
        <v>.mides variades: 120-260cm</v>
      </c>
      <c r="E415" s="341"/>
      <c r="F415" s="341"/>
      <c r="G415" s="341"/>
      <c r="H415" s="344"/>
      <c r="I415" s="370"/>
    </row>
    <row r="416" customFormat="false" ht="14.9" hidden="false" customHeight="false" outlineLevel="0" collapsed="false">
      <c r="B416" s="368"/>
      <c r="C416" s="368"/>
      <c r="D416" s="341" t="str">
        <f aca="false">+VLOOKUP($A413,BASEdades!$A$3:$AA$283,6,FALSE())</f>
        <v>.</v>
      </c>
      <c r="E416" s="348"/>
      <c r="F416" s="348"/>
      <c r="G416" s="348"/>
      <c r="H416" s="344"/>
      <c r="I416" s="370"/>
    </row>
    <row r="417" customFormat="false" ht="13.8" hidden="true" customHeight="false" outlineLevel="0" collapsed="false">
      <c r="B417" s="368"/>
      <c r="C417" s="368"/>
      <c r="D417" s="416" t="s">
        <v>1061</v>
      </c>
      <c r="E417" s="378" t="n">
        <f aca="false">+VLOOKUP($D417,PREUS!$B$1:$F$589,3,FALSE())</f>
        <v>36.4</v>
      </c>
      <c r="F417" s="378" t="str">
        <f aca="false">+VLOOKUP($D417,PREUS!$B$1:$F$589,4,FALSE())</f>
        <v>m</v>
      </c>
      <c r="G417" s="418" t="n">
        <v>1.05</v>
      </c>
      <c r="H417" s="419" t="n">
        <f aca="false">E417*G417</f>
        <v>38.22</v>
      </c>
    </row>
    <row r="418" customFormat="false" ht="13.8" hidden="true" customHeight="false" outlineLevel="0" collapsed="false">
      <c r="B418" s="368"/>
      <c r="C418" s="368"/>
      <c r="D418" s="286" t="s">
        <v>1046</v>
      </c>
      <c r="E418" s="378" t="n">
        <v>20</v>
      </c>
      <c r="F418" s="378" t="str">
        <f aca="false">+VLOOKUP($D418,PREUS!$B$1:$F$589,4,FALSE())</f>
        <v>kg</v>
      </c>
      <c r="G418" s="418" t="n">
        <v>0.1</v>
      </c>
      <c r="H418" s="419" t="n">
        <f aca="false">E418*G418</f>
        <v>2</v>
      </c>
    </row>
    <row r="419" customFormat="false" ht="13.8" hidden="true" customHeight="false" outlineLevel="0" collapsed="false">
      <c r="B419" s="368"/>
      <c r="C419" s="368"/>
      <c r="D419" s="416" t="s">
        <v>1047</v>
      </c>
      <c r="E419" s="378" t="n">
        <f aca="false">+VLOOKUP($D419,PREUS!$B$1:$F$589,3,FALSE())</f>
        <v>30.76</v>
      </c>
      <c r="F419" s="378" t="str">
        <f aca="false">+VLOOKUP($D419,PREUS!$B$1:$F$589,4,FALSE())</f>
        <v>h</v>
      </c>
      <c r="G419" s="418" t="n">
        <v>0.294</v>
      </c>
      <c r="H419" s="419" t="n">
        <f aca="false">E419*G419</f>
        <v>9.04344</v>
      </c>
    </row>
    <row r="420" customFormat="false" ht="13.8" hidden="true" customHeight="false" outlineLevel="0" collapsed="false">
      <c r="B420" s="368"/>
      <c r="C420" s="368"/>
      <c r="D420" s="416" t="s">
        <v>986</v>
      </c>
      <c r="E420" s="378" t="n">
        <f aca="false">+VLOOKUP($D420,PREUS!$B$1:$F$589,3,FALSE())</f>
        <v>25.8</v>
      </c>
      <c r="F420" s="378" t="str">
        <f aca="false">+VLOOKUP($D420,PREUS!$B$1:$F$589,4,FALSE())</f>
        <v>h</v>
      </c>
      <c r="G420" s="418" t="n">
        <v>0.2945</v>
      </c>
      <c r="H420" s="419" t="n">
        <f aca="false">E420*G420</f>
        <v>7.5981</v>
      </c>
    </row>
    <row r="421" customFormat="false" ht="13.8" hidden="true" customHeight="false" outlineLevel="0" collapsed="false">
      <c r="B421" s="368"/>
      <c r="C421" s="368"/>
      <c r="D421" s="286" t="s">
        <v>987</v>
      </c>
      <c r="E421" s="379" t="n">
        <f aca="false">SUM(H417:H420)</f>
        <v>56.86154</v>
      </c>
      <c r="F421" s="403" t="s">
        <v>988</v>
      </c>
      <c r="G421" s="422" t="n">
        <v>0.02</v>
      </c>
      <c r="H421" s="419" t="n">
        <f aca="false">E421*G421</f>
        <v>1.1372308</v>
      </c>
    </row>
    <row r="422" s="277" customFormat="true" ht="13.8" hidden="false" customHeight="false" outlineLevel="0" collapsed="false">
      <c r="B422" s="361"/>
      <c r="C422" s="361"/>
      <c r="D422" s="351"/>
      <c r="E422" s="352"/>
      <c r="F422" s="352"/>
      <c r="G422" s="352"/>
      <c r="H422" s="359"/>
      <c r="I422" s="366"/>
      <c r="M422" s="0"/>
      <c r="N422" s="0"/>
    </row>
    <row r="423" customFormat="false" ht="13.8" hidden="false" customHeight="false" outlineLevel="0" collapsed="false">
      <c r="A423" s="329" t="s">
        <v>218</v>
      </c>
      <c r="B423" s="337"/>
      <c r="C423" s="337" t="str">
        <f aca="false">+VLOOKUP($A423,BASEdades!$A$3:$AA$283,3,FALSE())</f>
        <v>m3</v>
      </c>
      <c r="D423" s="367" t="str">
        <f aca="false">+VLOOKUP($A423,BASEdades!$A$3:$AA$298,2,FALSE())</f>
        <v>Àrid ull de perdiu</v>
      </c>
      <c r="E423" s="338"/>
      <c r="F423" s="338"/>
      <c r="G423" s="338"/>
      <c r="H423" s="340" t="n">
        <f aca="false">+VLOOKUP($A423,BASEdades!$A$3:$AA$283,7,FALSE())</f>
        <v>114.666666666667</v>
      </c>
      <c r="I423" s="340" t="e">
        <f aca="false">#REF!*H423</f>
        <v>#REF!</v>
      </c>
    </row>
    <row r="424" customFormat="false" ht="41.75" hidden="false" customHeight="false" outlineLevel="0" collapsed="false">
      <c r="B424" s="368"/>
      <c r="C424" s="368"/>
      <c r="D424" s="353" t="str">
        <f aca="false">+VLOOKUP($A423,BASEdades!$A$3:$AA$283,4,FALSE())</f>
        <v>Subministrament i estesa de paviment d'àrid ull de perdiu, rentat,  de grandària màxima 40 a 80 mm i cares arrodonides, amb estesa del material, amb mitjans manuals</v>
      </c>
      <c r="E424" s="341"/>
      <c r="F424" s="341"/>
      <c r="G424" s="341"/>
      <c r="H424" s="344"/>
      <c r="I424" s="370"/>
    </row>
    <row r="425" customFormat="false" ht="14.9" hidden="false" customHeight="false" outlineLevel="0" collapsed="false">
      <c r="B425" s="368"/>
      <c r="C425" s="368"/>
      <c r="D425" s="341" t="str">
        <f aca="false">+VLOOKUP($A423,BASEdades!$A$3:$AA$283,5,FALSE())</f>
        <v>.mides: m3</v>
      </c>
      <c r="E425" s="341"/>
      <c r="F425" s="341"/>
      <c r="G425" s="341"/>
      <c r="H425" s="344"/>
      <c r="I425" s="370"/>
    </row>
    <row r="426" customFormat="false" ht="14.9" hidden="false" customHeight="false" outlineLevel="0" collapsed="false">
      <c r="B426" s="368"/>
      <c r="C426" s="368"/>
      <c r="D426" s="341" t="str">
        <f aca="false">+VLOOKUP($A423,BASEdades!$A$3:$AA$283,6,FALSE())</f>
        <v>.</v>
      </c>
      <c r="E426" s="348"/>
      <c r="F426" s="348"/>
      <c r="G426" s="348"/>
      <c r="H426" s="344"/>
      <c r="I426" s="370"/>
    </row>
    <row r="427" customFormat="false" ht="13.8" hidden="true" customHeight="false" outlineLevel="0" collapsed="false">
      <c r="B427" s="368"/>
      <c r="C427" s="368"/>
      <c r="D427" s="416" t="s">
        <v>219</v>
      </c>
      <c r="E427" s="378" t="n">
        <f aca="false">+VLOOKUP($D427,PREUS!$B$1:$F$589,3,FALSE())</f>
        <v>36</v>
      </c>
      <c r="F427" s="378" t="str">
        <f aca="false">+VLOOKUP($D427,PREUS!$B$1:$F$589,4,FALSE())</f>
        <v>m3</v>
      </c>
      <c r="G427" s="418" t="n">
        <v>1.05</v>
      </c>
      <c r="H427" s="419" t="n">
        <f aca="false">E427*G427</f>
        <v>37.8</v>
      </c>
    </row>
    <row r="428" customFormat="false" ht="13.8" hidden="true" customHeight="false" outlineLevel="0" collapsed="false">
      <c r="B428" s="368"/>
      <c r="C428" s="368"/>
      <c r="D428" s="416" t="s">
        <v>986</v>
      </c>
      <c r="E428" s="378" t="n">
        <f aca="false">+VLOOKUP($D428,PREUS!$B$1:$F$589,3,FALSE())</f>
        <v>25.8</v>
      </c>
      <c r="F428" s="378" t="str">
        <f aca="false">+VLOOKUP($D428,PREUS!$B$1:$F$589,4,FALSE())</f>
        <v>h</v>
      </c>
      <c r="G428" s="418" t="n">
        <v>1.4273</v>
      </c>
      <c r="H428" s="419" t="n">
        <f aca="false">E428*G428</f>
        <v>36.82434</v>
      </c>
    </row>
    <row r="429" customFormat="false" ht="13.8" hidden="true" customHeight="false" outlineLevel="0" collapsed="false">
      <c r="B429" s="368"/>
      <c r="C429" s="368"/>
      <c r="D429" s="286" t="s">
        <v>987</v>
      </c>
      <c r="E429" s="379" t="n">
        <f aca="false">SUM(H427:H428)</f>
        <v>74.62434</v>
      </c>
      <c r="F429" s="403" t="s">
        <v>988</v>
      </c>
      <c r="G429" s="422" t="n">
        <v>0.02</v>
      </c>
      <c r="H429" s="419" t="n">
        <f aca="false">E429*G429</f>
        <v>1.4924868</v>
      </c>
    </row>
    <row r="430" customFormat="false" ht="13.8" hidden="false" customHeight="false" outlineLevel="0" collapsed="false">
      <c r="B430" s="368"/>
      <c r="C430" s="368"/>
      <c r="D430" s="350"/>
      <c r="E430" s="348"/>
      <c r="F430" s="348"/>
      <c r="G430" s="348"/>
      <c r="H430" s="344"/>
      <c r="I430" s="370"/>
    </row>
    <row r="431" customFormat="false" ht="13.8" hidden="false" customHeight="false" outlineLevel="0" collapsed="false">
      <c r="A431" s="329" t="s">
        <v>221</v>
      </c>
      <c r="B431" s="337"/>
      <c r="C431" s="337" t="str">
        <f aca="false">+VLOOKUP($A431,BASEdades!$A$3:$AA$283,3,FALSE())</f>
        <v>m3</v>
      </c>
      <c r="D431" s="367" t="str">
        <f aca="false">+VLOOKUP($A431,BASEdades!$A$3:$AA$298,2,FALSE())</f>
        <v>Grava de pedrera de pedra granítica, Ø40/70 mm</v>
      </c>
      <c r="E431" s="338"/>
      <c r="F431" s="338"/>
      <c r="G431" s="338"/>
      <c r="H431" s="340" t="n">
        <f aca="false">+VLOOKUP($A431,BASEdades!$A$3:$AA$283,7,FALSE())</f>
        <v>65.7</v>
      </c>
      <c r="I431" s="340" t="e">
        <f aca="false">#REF!*H431</f>
        <v>#REF!</v>
      </c>
    </row>
    <row r="432" customFormat="false" ht="41.75" hidden="false" customHeight="false" outlineLevel="0" collapsed="false">
      <c r="B432" s="368"/>
      <c r="C432" s="368"/>
      <c r="D432" s="353" t="str">
        <f aca="false">+VLOOKUP($A431,BASEdades!$A$3:$AA$283,4,FALSE())</f>
        <v>Aportació i estesa de grava de pedrera de pedra granítica, Ø40/70 mm subministrada amb big bag i estesa amb mitjans manuals.</v>
      </c>
      <c r="E432" s="341"/>
      <c r="F432" s="341"/>
      <c r="G432" s="341"/>
      <c r="H432" s="344"/>
      <c r="I432" s="370"/>
    </row>
    <row r="433" customFormat="false" ht="14.9" hidden="false" customHeight="false" outlineLevel="0" collapsed="false">
      <c r="B433" s="368"/>
      <c r="C433" s="368"/>
      <c r="D433" s="341" t="str">
        <f aca="false">+VLOOKUP($A431,BASEdades!$A$3:$AA$283,5,FALSE())</f>
        <v>.mides: m3</v>
      </c>
      <c r="E433" s="341"/>
      <c r="F433" s="341"/>
      <c r="G433" s="341"/>
      <c r="H433" s="344"/>
      <c r="I433" s="370"/>
    </row>
    <row r="434" customFormat="false" ht="14.9" hidden="false" customHeight="false" outlineLevel="0" collapsed="false">
      <c r="B434" s="368"/>
      <c r="C434" s="368"/>
      <c r="D434" s="341" t="str">
        <f aca="false">+VLOOKUP($A431,BASEdades!$A$3:$AA$283,6,FALSE())</f>
        <v>.</v>
      </c>
      <c r="E434" s="348"/>
      <c r="F434" s="348"/>
      <c r="G434" s="348"/>
      <c r="H434" s="344"/>
      <c r="I434" s="370"/>
    </row>
    <row r="435" customFormat="false" ht="13.8" hidden="true" customHeight="false" outlineLevel="0" collapsed="false">
      <c r="B435" s="368"/>
      <c r="C435" s="368"/>
      <c r="D435" s="416" t="s">
        <v>1012</v>
      </c>
      <c r="E435" s="378" t="n">
        <f aca="false">+VLOOKUP($D435,PREUS!$B$1:$F$589,3,FALSE())</f>
        <v>22.39</v>
      </c>
      <c r="F435" s="378" t="str">
        <f aca="false">+VLOOKUP($D435,PREUS!$B$1:$F$589,4,FALSE())</f>
        <v>m3</v>
      </c>
      <c r="G435" s="418" t="n">
        <v>1.05</v>
      </c>
      <c r="H435" s="419" t="n">
        <f aca="false">E435*G435</f>
        <v>23.5095</v>
      </c>
    </row>
    <row r="436" customFormat="false" ht="13.8" hidden="true" customHeight="false" outlineLevel="0" collapsed="false">
      <c r="B436" s="368"/>
      <c r="C436" s="368"/>
      <c r="D436" s="416" t="s">
        <v>986</v>
      </c>
      <c r="E436" s="378" t="n">
        <f aca="false">+VLOOKUP($D436,PREUS!$B$1:$F$589,3,FALSE())</f>
        <v>25.8</v>
      </c>
      <c r="F436" s="378" t="str">
        <f aca="false">+VLOOKUP($D436,PREUS!$B$1:$F$589,4,FALSE())</f>
        <v>h</v>
      </c>
      <c r="G436" s="418" t="n">
        <v>1.5852</v>
      </c>
      <c r="H436" s="419" t="n">
        <f aca="false">E436*G436</f>
        <v>40.89816</v>
      </c>
    </row>
    <row r="437" customFormat="false" ht="13.8" hidden="true" customHeight="false" outlineLevel="0" collapsed="false">
      <c r="B437" s="368"/>
      <c r="C437" s="368"/>
      <c r="D437" s="286" t="s">
        <v>987</v>
      </c>
      <c r="E437" s="379" t="n">
        <f aca="false">SUM(H435:H436)</f>
        <v>64.40766</v>
      </c>
      <c r="F437" s="403" t="s">
        <v>988</v>
      </c>
      <c r="G437" s="422" t="n">
        <v>0.02</v>
      </c>
      <c r="H437" s="419" t="n">
        <f aca="false">E437*G437</f>
        <v>1.2881532</v>
      </c>
    </row>
    <row r="438" s="277" customFormat="true" ht="13.8" hidden="false" customHeight="false" outlineLevel="0" collapsed="false">
      <c r="B438" s="361"/>
      <c r="C438" s="361"/>
      <c r="D438" s="351"/>
      <c r="E438" s="352"/>
      <c r="F438" s="352"/>
      <c r="G438" s="352"/>
      <c r="H438" s="359"/>
      <c r="I438" s="366"/>
      <c r="M438" s="0"/>
      <c r="N438" s="0"/>
    </row>
    <row r="439" customFormat="false" ht="13.8" hidden="false" customHeight="false" outlineLevel="0" collapsed="false">
      <c r="A439" s="329" t="s">
        <v>205</v>
      </c>
      <c r="B439" s="337"/>
      <c r="C439" s="337" t="str">
        <f aca="false">+VLOOKUP($A439,BASEdades!$A$3:$AA$283,3,FALSE())</f>
        <v>m3</v>
      </c>
      <c r="D439" s="367" t="str">
        <f aca="false">+VLOOKUP($A439,BASEdades!$A$3:$AA$298,2,FALSE())</f>
        <v>Paviment de sauló</v>
      </c>
      <c r="E439" s="338"/>
      <c r="F439" s="338"/>
      <c r="G439" s="338"/>
      <c r="H439" s="340" t="n">
        <f aca="false">+VLOOKUP($A439,BASEdades!$A$3:$AA$283,7,FALSE())</f>
        <v>92</v>
      </c>
      <c r="I439" s="340" t="e">
        <f aca="false">#REF!*H439</f>
        <v>#REF!</v>
      </c>
    </row>
    <row r="440" customFormat="false" ht="41.75" hidden="false" customHeight="false" outlineLevel="0" collapsed="false">
      <c r="B440" s="368"/>
      <c r="C440" s="368"/>
      <c r="D440" s="353" t="str">
        <f aca="false">+VLOOKUP($A439,BASEdades!$A$3:$AA$283,4,FALSE())</f>
        <v>Subministrament i estesa de sauló com a paviment amb mitjans manuals. Base de sauló, amb estesa i piconatge del material al 95 % del PM.</v>
      </c>
      <c r="E440" s="341"/>
      <c r="F440" s="341"/>
      <c r="G440" s="341"/>
      <c r="H440" s="344"/>
      <c r="I440" s="370"/>
    </row>
    <row r="441" customFormat="false" ht="14.9" hidden="false" customHeight="false" outlineLevel="0" collapsed="false">
      <c r="B441" s="368"/>
      <c r="C441" s="368"/>
      <c r="D441" s="341" t="str">
        <f aca="false">+VLOOKUP($A439,BASEdades!$A$3:$AA$283,5,FALSE())</f>
        <v>.mides: m3</v>
      </c>
      <c r="E441" s="341"/>
      <c r="F441" s="341"/>
      <c r="G441" s="341"/>
      <c r="H441" s="344"/>
      <c r="I441" s="370"/>
    </row>
    <row r="442" customFormat="false" ht="14.9" hidden="false" customHeight="false" outlineLevel="0" collapsed="false">
      <c r="B442" s="368"/>
      <c r="C442" s="368"/>
      <c r="D442" s="341" t="str">
        <f aca="false">+VLOOKUP($A439,BASEdades!$A$3:$AA$283,6,FALSE())</f>
        <v>.</v>
      </c>
      <c r="E442" s="348"/>
      <c r="F442" s="348"/>
      <c r="G442" s="348"/>
      <c r="H442" s="344"/>
      <c r="I442" s="370"/>
    </row>
    <row r="443" customFormat="false" ht="13.8" hidden="true" customHeight="false" outlineLevel="0" collapsed="false">
      <c r="B443" s="368"/>
      <c r="C443" s="368"/>
      <c r="D443" s="416" t="s">
        <v>1062</v>
      </c>
      <c r="E443" s="378" t="n">
        <f aca="false">+VLOOKUP($D443,PREUS!$B$1:$F$589,3,FALSE())</f>
        <v>40.63</v>
      </c>
      <c r="F443" s="378" t="str">
        <f aca="false">+VLOOKUP($D443,PREUS!$B$1:$F$589,4,FALSE())</f>
        <v>m3</v>
      </c>
      <c r="G443" s="418" t="n">
        <v>1.05</v>
      </c>
      <c r="H443" s="419" t="n">
        <f aca="false">E443*G443</f>
        <v>42.6615</v>
      </c>
    </row>
    <row r="444" customFormat="false" ht="13.8" hidden="true" customHeight="false" outlineLevel="0" collapsed="false">
      <c r="B444" s="368"/>
      <c r="C444" s="368"/>
      <c r="D444" s="416" t="s">
        <v>986</v>
      </c>
      <c r="E444" s="378" t="n">
        <f aca="false">+VLOOKUP($D444,PREUS!$B$1:$F$589,3,FALSE())</f>
        <v>25.8</v>
      </c>
      <c r="F444" s="378" t="str">
        <f aca="false">+VLOOKUP($D444,PREUS!$B$1:$F$589,4,FALSE())</f>
        <v>h</v>
      </c>
      <c r="G444" s="418" t="n">
        <v>1.8423</v>
      </c>
      <c r="H444" s="419" t="n">
        <f aca="false">E444*G444</f>
        <v>47.53134</v>
      </c>
    </row>
    <row r="445" customFormat="false" ht="13.8" hidden="true" customHeight="false" outlineLevel="0" collapsed="false">
      <c r="B445" s="368"/>
      <c r="C445" s="368"/>
      <c r="D445" s="286" t="s">
        <v>987</v>
      </c>
      <c r="E445" s="379" t="n">
        <f aca="false">SUM(H443:H444)</f>
        <v>90.19284</v>
      </c>
      <c r="F445" s="403" t="s">
        <v>988</v>
      </c>
      <c r="G445" s="422" t="n">
        <v>0.02</v>
      </c>
      <c r="H445" s="419" t="n">
        <f aca="false">E445*G445</f>
        <v>1.8038568</v>
      </c>
    </row>
    <row r="446" customFormat="false" ht="13.8" hidden="false" customHeight="false" outlineLevel="0" collapsed="false">
      <c r="B446" s="368"/>
      <c r="C446" s="368"/>
      <c r="D446" s="350"/>
      <c r="E446" s="348"/>
      <c r="F446" s="348"/>
      <c r="G446" s="348"/>
      <c r="H446" s="344"/>
      <c r="I446" s="370"/>
    </row>
    <row r="447" customFormat="false" ht="13.8" hidden="false" customHeight="false" outlineLevel="0" collapsed="false">
      <c r="A447" s="329" t="s">
        <v>208</v>
      </c>
      <c r="B447" s="337"/>
      <c r="C447" s="337" t="str">
        <f aca="false">+VLOOKUP($A447,BASEdades!$A$3:$AA$283,3,FALSE())</f>
        <v>m3</v>
      </c>
      <c r="D447" s="367" t="str">
        <f aca="false">+VLOOKUP($A447,BASEdades!$A$3:$AA$298,2,FALSE())</f>
        <v>Sorra per sorral</v>
      </c>
      <c r="E447" s="338"/>
      <c r="F447" s="338"/>
      <c r="G447" s="338"/>
      <c r="H447" s="340" t="n">
        <f aca="false">+VLOOKUP($A447,BASEdades!$A$3:$AA$283,7,FALSE())</f>
        <v>136.173333333333</v>
      </c>
      <c r="I447" s="340" t="e">
        <f aca="false">#REF!*H447</f>
        <v>#REF!</v>
      </c>
    </row>
    <row r="448" customFormat="false" ht="41.75" hidden="false" customHeight="false" outlineLevel="0" collapsed="false">
      <c r="B448" s="368"/>
      <c r="C448" s="368"/>
      <c r="D448" s="353" t="str">
        <f aca="false">+VLOOKUP($A447,BASEdades!$A$3:$AA$283,4,FALSE())</f>
        <v>Subministrament i estesa de barreja de sorra de 0.2 a 2 mm de gruix rentada sense partícules de fang ni argiles, amb estesa i nivellat de material. Inclou estesa.</v>
      </c>
      <c r="E448" s="341"/>
      <c r="F448" s="341"/>
      <c r="G448" s="341"/>
      <c r="H448" s="344"/>
      <c r="I448" s="370"/>
    </row>
    <row r="449" customFormat="false" ht="14.9" hidden="false" customHeight="false" outlineLevel="0" collapsed="false">
      <c r="B449" s="368"/>
      <c r="C449" s="368"/>
      <c r="D449" s="341" t="str">
        <f aca="false">+VLOOKUP($A447,BASEdades!$A$3:$AA$283,5,FALSE())</f>
        <v>.mides: m3</v>
      </c>
      <c r="E449" s="341"/>
      <c r="F449" s="341"/>
      <c r="G449" s="341"/>
      <c r="H449" s="344"/>
      <c r="I449" s="370"/>
    </row>
    <row r="450" customFormat="false" ht="14.9" hidden="false" customHeight="false" outlineLevel="0" collapsed="false">
      <c r="B450" s="368"/>
      <c r="C450" s="368"/>
      <c r="D450" s="341" t="str">
        <f aca="false">+VLOOKUP($A447,BASEdades!$A$3:$AA$283,6,FALSE())</f>
        <v>.</v>
      </c>
      <c r="E450" s="348"/>
      <c r="F450" s="348"/>
      <c r="G450" s="348"/>
      <c r="H450" s="344"/>
      <c r="I450" s="370"/>
    </row>
    <row r="451" customFormat="false" ht="13.8" hidden="true" customHeight="false" outlineLevel="0" collapsed="false">
      <c r="B451" s="368"/>
      <c r="C451" s="368"/>
      <c r="D451" s="416" t="s">
        <v>1063</v>
      </c>
      <c r="E451" s="378" t="n">
        <f aca="false">+VLOOKUP($D451,PREUS!$B$1:$F$589,3,FALSE())</f>
        <v>42.55</v>
      </c>
      <c r="F451" s="378" t="str">
        <f aca="false">+VLOOKUP($D451,PREUS!$B$1:$F$589,4,FALSE())</f>
        <v>m3</v>
      </c>
      <c r="G451" s="418" t="n">
        <v>1.05</v>
      </c>
      <c r="H451" s="419" t="n">
        <f aca="false">E451*G451</f>
        <v>44.6775</v>
      </c>
    </row>
    <row r="452" customFormat="false" ht="13.8" hidden="true" customHeight="false" outlineLevel="0" collapsed="false">
      <c r="B452" s="368"/>
      <c r="C452" s="368"/>
      <c r="D452" s="416" t="s">
        <v>986</v>
      </c>
      <c r="E452" s="378" t="n">
        <f aca="false">+VLOOKUP($D452,PREUS!$B$1:$F$589,3,FALSE())</f>
        <v>25.8</v>
      </c>
      <c r="F452" s="378" t="str">
        <f aca="false">+VLOOKUP($D452,PREUS!$B$1:$F$589,4,FALSE())</f>
        <v>h</v>
      </c>
      <c r="G452" s="418" t="n">
        <v>3.0965</v>
      </c>
      <c r="H452" s="419" t="n">
        <f aca="false">E452*G452</f>
        <v>79.8897</v>
      </c>
    </row>
    <row r="453" customFormat="false" ht="13.8" hidden="true" customHeight="false" outlineLevel="0" collapsed="false">
      <c r="B453" s="368"/>
      <c r="C453" s="368"/>
      <c r="D453" s="286" t="s">
        <v>987</v>
      </c>
      <c r="E453" s="379" t="n">
        <f aca="false">SUM(H451:H452)</f>
        <v>124.5672</v>
      </c>
      <c r="F453" s="403" t="s">
        <v>988</v>
      </c>
      <c r="G453" s="422" t="n">
        <v>0.02</v>
      </c>
      <c r="H453" s="419" t="n">
        <f aca="false">E453*G453</f>
        <v>2.491344</v>
      </c>
    </row>
    <row r="454" customFormat="false" ht="13.8" hidden="true" customHeight="false" outlineLevel="0" collapsed="false">
      <c r="B454" s="368"/>
      <c r="C454" s="368"/>
      <c r="D454" s="350"/>
      <c r="E454" s="348"/>
      <c r="F454" s="348"/>
      <c r="G454" s="348"/>
      <c r="H454" s="344"/>
      <c r="I454" s="370"/>
    </row>
    <row r="455" s="277" customFormat="true" ht="13.8" hidden="false" customHeight="false" outlineLevel="0" collapsed="false">
      <c r="B455" s="361"/>
      <c r="C455" s="361"/>
      <c r="D455" s="351"/>
      <c r="E455" s="352"/>
      <c r="F455" s="352"/>
      <c r="G455" s="352"/>
      <c r="H455" s="359"/>
      <c r="I455" s="366"/>
      <c r="M455" s="0"/>
      <c r="N455" s="0"/>
    </row>
    <row r="456" customFormat="false" ht="13.8" hidden="false" customHeight="false" outlineLevel="0" collapsed="false">
      <c r="A456" s="329" t="s">
        <v>397</v>
      </c>
      <c r="B456" s="337"/>
      <c r="C456" s="337" t="str">
        <f aca="false">+VLOOKUP($A456,BASEdades!$A$3:$AA$283,3,FALSE())</f>
        <v>ut</v>
      </c>
      <c r="D456" s="367" t="str">
        <f aca="false">+VLOOKUP($A456,BASEdades!$A$3:$AA$298,2,FALSE())</f>
        <v>Obrador Molí per bressol</v>
      </c>
      <c r="E456" s="338"/>
      <c r="F456" s="338"/>
      <c r="G456" s="338"/>
      <c r="H456" s="340" t="n">
        <f aca="false">+VLOOKUP($A456,BASEdades!$A$3:$AA$283,7,FALSE())</f>
        <v>945.2</v>
      </c>
      <c r="I456" s="340" t="e">
        <f aca="false">#REF!*H456</f>
        <v>#REF!</v>
      </c>
    </row>
    <row r="457" customFormat="false" ht="41.75" hidden="false" customHeight="false" outlineLevel="0" collapsed="false">
      <c r="B457" s="368"/>
      <c r="C457" s="368"/>
      <c r="D457" s="353" t="str">
        <f aca="false">+VLOOKUP($A456,BASEdades!$A$3:$AA$283,4,FALSE())</f>
        <v>Subministrament i instal.lació de cuina fusta amb. Moble de fusta amb prestatges, fogons, taulell pel racó de joc simbòlic. No inclou accessoris.</v>
      </c>
      <c r="E457" s="341"/>
      <c r="F457" s="341"/>
      <c r="G457" s="341"/>
      <c r="H457" s="344"/>
      <c r="I457" s="370"/>
    </row>
    <row r="458" customFormat="false" ht="14.9" hidden="false" customHeight="false" outlineLevel="0" collapsed="false">
      <c r="B458" s="368"/>
      <c r="C458" s="368"/>
      <c r="D458" s="341" t="str">
        <f aca="false">+VLOOKUP($A456,BASEdades!$A$3:$AA$283,5,FALSE())</f>
        <v>.mides. 180x40x80h</v>
      </c>
      <c r="E458" s="341"/>
      <c r="F458" s="341"/>
      <c r="G458" s="341"/>
      <c r="H458" s="344"/>
      <c r="I458" s="370"/>
    </row>
    <row r="459" customFormat="false" ht="14.9" hidden="false" customHeight="false" outlineLevel="0" collapsed="false">
      <c r="B459" s="368"/>
      <c r="C459" s="368"/>
      <c r="D459" s="341" t="str">
        <f aca="false">+VLOOKUP($A456,BASEdades!$A$3:$AA$283,6,FALSE())</f>
        <v>.</v>
      </c>
      <c r="E459" s="341"/>
      <c r="F459" s="341"/>
      <c r="G459" s="341"/>
      <c r="H459" s="344"/>
      <c r="I459" s="370"/>
    </row>
    <row r="460" customFormat="false" ht="13.8" hidden="false" customHeight="false" outlineLevel="0" collapsed="false">
      <c r="B460" s="368"/>
      <c r="C460" s="368"/>
      <c r="D460" s="350"/>
      <c r="E460" s="348"/>
      <c r="F460" s="348"/>
      <c r="G460" s="348"/>
      <c r="H460" s="344"/>
      <c r="I460" s="370"/>
    </row>
    <row r="461" customFormat="false" ht="13.8" hidden="false" customHeight="false" outlineLevel="0" collapsed="false">
      <c r="A461" s="329" t="s">
        <v>490</v>
      </c>
      <c r="B461" s="337"/>
      <c r="C461" s="337" t="str">
        <f aca="false">+VLOOKUP($A461,BASEdades!$A$3:$AA$283,3,FALSE())</f>
        <v>ut</v>
      </c>
      <c r="D461" s="367" t="str">
        <f aca="false">+VLOOKUP($A461,BASEdades!$A$3:$AA$298,2,FALSE())</f>
        <v>Taula mig tronc amb 6 seients</v>
      </c>
      <c r="E461" s="338"/>
      <c r="F461" s="338"/>
      <c r="G461" s="338"/>
      <c r="H461" s="340" t="n">
        <f aca="false">+VLOOKUP($A461,BASEdades!$A$3:$AA$283,7,FALSE())</f>
        <v>496.5</v>
      </c>
      <c r="I461" s="340" t="e">
        <f aca="false">#REF!*H461</f>
        <v>#REF!</v>
      </c>
    </row>
    <row r="462" customFormat="false" ht="28.35" hidden="false" customHeight="false" outlineLevel="0" collapsed="false">
      <c r="B462" s="368"/>
      <c r="C462" s="368"/>
      <c r="D462" s="353" t="str">
        <f aca="false">+VLOOKUP($A461,BASEdades!$A$3:$AA$283,4,FALSE())</f>
        <v>Subministrament i instal·lació de taula de fusta feta a partir de mig tronc, més sis seients de troncs gruixuts.</v>
      </c>
      <c r="E462" s="341"/>
      <c r="F462" s="341"/>
      <c r="G462" s="341"/>
      <c r="H462" s="344"/>
      <c r="I462" s="370"/>
    </row>
    <row r="463" customFormat="false" ht="14.9" hidden="false" customHeight="false" outlineLevel="0" collapsed="false">
      <c r="B463" s="368"/>
      <c r="C463" s="368"/>
      <c r="D463" s="341" t="str">
        <f aca="false">+VLOOKUP($A461,BASEdades!$A$3:$AA$283,5,FALSE())</f>
        <v>.mides: 120x40x40cm seients h30cm</v>
      </c>
      <c r="E463" s="341"/>
      <c r="F463" s="341"/>
      <c r="G463" s="341"/>
      <c r="H463" s="344"/>
      <c r="I463" s="370"/>
    </row>
    <row r="464" customFormat="false" ht="14.9" hidden="false" customHeight="false" outlineLevel="0" collapsed="false">
      <c r="B464" s="368"/>
      <c r="C464" s="368"/>
      <c r="D464" s="341" t="str">
        <f aca="false">+VLOOKUP($A461,BASEdades!$A$3:$AA$283,6,FALSE())</f>
        <v>.</v>
      </c>
      <c r="E464" s="341"/>
      <c r="F464" s="341"/>
      <c r="G464" s="341"/>
      <c r="H464" s="344"/>
      <c r="I464" s="370"/>
    </row>
    <row r="465" customFormat="false" ht="13.8" hidden="false" customHeight="false" outlineLevel="0" collapsed="false">
      <c r="B465" s="368"/>
      <c r="C465" s="368"/>
      <c r="D465" s="350"/>
      <c r="E465" s="348"/>
      <c r="F465" s="348"/>
      <c r="G465" s="348"/>
      <c r="H465" s="344"/>
      <c r="I465" s="370"/>
    </row>
    <row r="466" customFormat="false" ht="13.8" hidden="false" customHeight="false" outlineLevel="0" collapsed="false">
      <c r="A466" s="329" t="s">
        <v>432</v>
      </c>
      <c r="B466" s="337"/>
      <c r="C466" s="337" t="str">
        <f aca="false">+VLOOKUP($A466,BASEdades!$A$3:$AA$283,3,FALSE())</f>
        <v>ut</v>
      </c>
      <c r="D466" s="367" t="str">
        <f aca="false">+VLOOKUP($A466,BASEdades!$A$3:$AA$298,2,FALSE())</f>
        <v>Túnel de tub</v>
      </c>
      <c r="E466" s="338"/>
      <c r="F466" s="338"/>
      <c r="G466" s="338"/>
      <c r="H466" s="340" t="n">
        <f aca="false">+VLOOKUP($A466,BASEdades!$A$3:$AA$283,7,FALSE())</f>
        <v>278</v>
      </c>
      <c r="I466" s="340" t="e">
        <f aca="false">#REF!*H466</f>
        <v>#REF!</v>
      </c>
    </row>
    <row r="467" customFormat="false" ht="41.75" hidden="false" customHeight="false" outlineLevel="0" collapsed="false">
      <c r="B467" s="368"/>
      <c r="C467" s="368"/>
      <c r="D467" s="353" t="str">
        <f aca="false">+VLOOKUP($A466,BASEdades!$A$3:$AA$283,4,FALSE())</f>
        <v>Subministrament i instal·lació de tub corrugat (túnel) de 60cm de diàmetre i 120cm de llargada amb travesses al voltant com a element de fixació al terreny.</v>
      </c>
      <c r="E467" s="341"/>
      <c r="F467" s="341"/>
      <c r="G467" s="341"/>
      <c r="H467" s="344"/>
      <c r="I467" s="370"/>
    </row>
    <row r="468" customFormat="false" ht="14.9" hidden="false" customHeight="false" outlineLevel="0" collapsed="false">
      <c r="B468" s="368"/>
      <c r="C468" s="368"/>
      <c r="D468" s="341" t="str">
        <f aca="false">+VLOOKUP($A466,BASEdades!$A$3:$AA$283,5,FALSE())</f>
        <v>.mides: Tub 120x 60cm</v>
      </c>
      <c r="E468" s="341"/>
      <c r="F468" s="341"/>
      <c r="G468" s="341"/>
      <c r="H468" s="344"/>
      <c r="I468" s="370"/>
    </row>
    <row r="469" customFormat="false" ht="14.9" hidden="false" customHeight="false" outlineLevel="0" collapsed="false">
      <c r="B469" s="368"/>
      <c r="C469" s="368"/>
      <c r="D469" s="341" t="str">
        <f aca="false">+VLOOKUP($A466,BASEdades!$A$3:$AA$283,6,FALSE())</f>
        <v>.</v>
      </c>
      <c r="E469" s="348"/>
      <c r="F469" s="348"/>
      <c r="G469" s="348"/>
      <c r="H469" s="344"/>
      <c r="I469" s="370"/>
    </row>
    <row r="470" s="277" customFormat="true" ht="13.8" hidden="false" customHeight="false" outlineLevel="0" collapsed="false">
      <c r="B470" s="361"/>
      <c r="C470" s="361"/>
      <c r="D470" s="351"/>
      <c r="E470" s="352"/>
      <c r="F470" s="352"/>
      <c r="G470" s="352"/>
      <c r="H470" s="359"/>
      <c r="I470" s="366"/>
      <c r="M470" s="0"/>
      <c r="N470" s="0"/>
    </row>
    <row r="471" customFormat="false" ht="13.8" hidden="false" customHeight="false" outlineLevel="0" collapsed="false">
      <c r="A471" s="329" t="s">
        <v>358</v>
      </c>
      <c r="B471" s="337"/>
      <c r="C471" s="337" t="str">
        <f aca="false">+VLOOKUP($A471,BASEdades!$A$3:$AA$283,3,FALSE())</f>
        <v>ut</v>
      </c>
      <c r="D471" s="367" t="str">
        <f aca="false">+VLOOKUP($A471,BASEdades!$A$3:$AA$298,2,FALSE())</f>
        <v>Estructura de troncs d'equilibri la Pau</v>
      </c>
      <c r="E471" s="338"/>
      <c r="F471" s="338"/>
      <c r="G471" s="338"/>
      <c r="H471" s="340" t="n">
        <f aca="false">+VLOOKUP($A471,BASEdades!$A$3:$AA$283,7,FALSE())</f>
        <v>1246.3</v>
      </c>
      <c r="I471" s="340" t="e">
        <f aca="false">#REF!*H471</f>
        <v>#REF!</v>
      </c>
    </row>
    <row r="472" customFormat="false" ht="55.2" hidden="false" customHeight="false" outlineLevel="0" collapsed="false">
      <c r="B472" s="368"/>
      <c r="C472" s="368"/>
      <c r="D472" s="353" t="str">
        <f aca="false">+VLOOKUP($A471,BASEdades!$A$3:$AA$283,4,FALSE())</f>
        <v>Subministrament i instal·lació d'estructura formada per troncs verticals i horitzontals de fusta tractada amb oli. Dos troncs de 230 cm, quatre de 160 cm, dos de 80 cm  i un amb la forma de una Y.</v>
      </c>
      <c r="E472" s="341"/>
      <c r="F472" s="341"/>
      <c r="G472" s="341"/>
      <c r="H472" s="344"/>
      <c r="I472" s="370"/>
    </row>
    <row r="473" customFormat="false" ht="14.9" hidden="false" customHeight="false" outlineLevel="0" collapsed="false">
      <c r="B473" s="368"/>
      <c r="C473" s="368"/>
      <c r="D473" s="341" t="str">
        <f aca="false">+VLOOKUP($A471,BASEdades!$A$3:$AA$283,5,FALSE())</f>
        <v>.mides: 6m2 aprox.</v>
      </c>
      <c r="E473" s="341"/>
      <c r="F473" s="341"/>
      <c r="G473" s="341"/>
      <c r="H473" s="344"/>
      <c r="I473" s="370"/>
    </row>
    <row r="474" customFormat="false" ht="14.9" hidden="false" customHeight="false" outlineLevel="0" collapsed="false">
      <c r="B474" s="368"/>
      <c r="C474" s="368"/>
      <c r="D474" s="341" t="str">
        <f aca="false">+VLOOKUP($A471,BASEdades!$A$3:$AA$283,6,FALSE())</f>
        <v>.</v>
      </c>
      <c r="E474" s="348"/>
      <c r="F474" s="348"/>
      <c r="G474" s="348"/>
      <c r="H474" s="344"/>
      <c r="I474" s="370"/>
    </row>
    <row r="475" customFormat="false" ht="13.8" hidden="true" customHeight="false" outlineLevel="0" collapsed="false">
      <c r="B475" s="368"/>
      <c r="C475" s="368"/>
      <c r="D475" s="416" t="s">
        <v>1061</v>
      </c>
      <c r="E475" s="378" t="n">
        <f aca="false">+VLOOKUP($D475,PREUS!$B$1:$F$589,3,FALSE())</f>
        <v>36.4</v>
      </c>
      <c r="F475" s="378" t="str">
        <f aca="false">+VLOOKUP($D475,PREUS!$B$1:$F$589,4,FALSE())</f>
        <v>m</v>
      </c>
      <c r="G475" s="418" t="n">
        <f aca="false">12.6*1.65573</f>
        <v>20.862198</v>
      </c>
      <c r="H475" s="419" t="n">
        <f aca="false">E475*G475</f>
        <v>759.3840072</v>
      </c>
    </row>
    <row r="476" customFormat="false" ht="13.8" hidden="true" customHeight="false" outlineLevel="0" collapsed="false">
      <c r="B476" s="368"/>
      <c r="C476" s="368"/>
      <c r="D476" s="286" t="s">
        <v>1046</v>
      </c>
      <c r="E476" s="378" t="n">
        <v>20</v>
      </c>
      <c r="F476" s="378" t="str">
        <f aca="false">+VLOOKUP($D476,PREUS!$B$1:$F$589,4,FALSE())</f>
        <v>kg</v>
      </c>
      <c r="G476" s="394" t="n">
        <v>0.5</v>
      </c>
      <c r="H476" s="419" t="n">
        <f aca="false">E476*G476</f>
        <v>10</v>
      </c>
    </row>
    <row r="477" customFormat="false" ht="13.8" hidden="true" customHeight="false" outlineLevel="0" collapsed="false">
      <c r="B477" s="368"/>
      <c r="C477" s="368"/>
      <c r="D477" s="416" t="s">
        <v>1047</v>
      </c>
      <c r="E477" s="378" t="n">
        <f aca="false">+VLOOKUP($D477,PREUS!$B$1:$F$589,3,FALSE())</f>
        <v>30.76</v>
      </c>
      <c r="F477" s="378" t="str">
        <f aca="false">+VLOOKUP($D477,PREUS!$B$1:$F$589,4,FALSE())</f>
        <v>h</v>
      </c>
      <c r="G477" s="394" t="n">
        <v>8</v>
      </c>
      <c r="H477" s="419" t="n">
        <f aca="false">E477*G477</f>
        <v>246.08</v>
      </c>
    </row>
    <row r="478" customFormat="false" ht="13.8" hidden="true" customHeight="false" outlineLevel="0" collapsed="false">
      <c r="B478" s="368"/>
      <c r="C478" s="368"/>
      <c r="D478" s="416" t="s">
        <v>986</v>
      </c>
      <c r="E478" s="378" t="n">
        <f aca="false">+VLOOKUP($D478,PREUS!$B$1:$F$589,3,FALSE())</f>
        <v>25.8</v>
      </c>
      <c r="F478" s="378" t="str">
        <f aca="false">+VLOOKUP($D478,PREUS!$B$1:$F$589,4,FALSE())</f>
        <v>h</v>
      </c>
      <c r="G478" s="394" t="n">
        <v>8</v>
      </c>
      <c r="H478" s="419" t="n">
        <f aca="false">E478*G478</f>
        <v>206.4</v>
      </c>
    </row>
    <row r="479" customFormat="false" ht="13.8" hidden="true" customHeight="false" outlineLevel="0" collapsed="false">
      <c r="B479" s="368"/>
      <c r="C479" s="368"/>
      <c r="D479" s="286" t="s">
        <v>987</v>
      </c>
      <c r="E479" s="379" t="n">
        <f aca="false">SUM(H475:H478)</f>
        <v>1221.8640072</v>
      </c>
      <c r="F479" s="403" t="s">
        <v>988</v>
      </c>
      <c r="G479" s="422" t="n">
        <v>0.02</v>
      </c>
      <c r="H479" s="419" t="n">
        <f aca="false">E479*G479</f>
        <v>24.437280144</v>
      </c>
    </row>
    <row r="480" s="277" customFormat="true" ht="13.8" hidden="false" customHeight="false" outlineLevel="0" collapsed="false">
      <c r="B480" s="361"/>
      <c r="C480" s="361"/>
      <c r="D480" s="351"/>
      <c r="E480" s="352"/>
      <c r="F480" s="352"/>
      <c r="G480" s="352"/>
      <c r="H480" s="359"/>
      <c r="I480" s="366"/>
      <c r="M480" s="0"/>
      <c r="N480" s="0"/>
    </row>
    <row r="481" customFormat="false" ht="13.8" hidden="false" customHeight="false" outlineLevel="0" collapsed="false">
      <c r="A481" s="329" t="s">
        <v>354</v>
      </c>
      <c r="B481" s="337"/>
      <c r="C481" s="337" t="str">
        <f aca="false">+VLOOKUP($A481,BASEdades!$A$3:$AA$283,3,FALSE())</f>
        <v>ut</v>
      </c>
      <c r="D481" s="367" t="str">
        <f aca="false">+VLOOKUP($A481,BASEdades!$A$3:$AA$298,2,FALSE())</f>
        <v>Estructura de troncs d'equilibri</v>
      </c>
      <c r="E481" s="338"/>
      <c r="F481" s="338"/>
      <c r="G481" s="338"/>
      <c r="H481" s="340" t="n">
        <f aca="false">+VLOOKUP($A481,BASEdades!$A$3:$AA$283,7,FALSE())</f>
        <v>768</v>
      </c>
      <c r="I481" s="340" t="e">
        <f aca="false">#REF!*H481</f>
        <v>#REF!</v>
      </c>
    </row>
    <row r="482" customFormat="false" ht="55.2" hidden="false" customHeight="false" outlineLevel="0" collapsed="false">
      <c r="B482" s="368"/>
      <c r="C482" s="368"/>
      <c r="D482" s="353" t="str">
        <f aca="false">+VLOOKUP($A481,BASEdades!$A$3:$AA$283,4,FALSE())</f>
        <v>Subministrament i instal·lació d'estructura formada per 5 troncs d'acàcia tractada. Tres troncs de 230 cm de diametre entre 12-16cm, un tronc de 180 cm i diametre entre 14-18cm i un tronc de 80cm i diametre 20cm.</v>
      </c>
      <c r="E482" s="341"/>
      <c r="F482" s="341"/>
      <c r="G482" s="341"/>
      <c r="H482" s="344"/>
      <c r="I482" s="370"/>
    </row>
    <row r="483" customFormat="false" ht="14.9" hidden="false" customHeight="false" outlineLevel="0" collapsed="false">
      <c r="B483" s="368"/>
      <c r="C483" s="368"/>
      <c r="D483" s="341" t="str">
        <f aca="false">+VLOOKUP($A481,BASEdades!$A$3:$AA$283,5,FALSE())</f>
        <v>.mides: 3x3m</v>
      </c>
      <c r="E483" s="341"/>
      <c r="F483" s="341"/>
      <c r="G483" s="341"/>
      <c r="H483" s="344"/>
      <c r="I483" s="370"/>
    </row>
    <row r="484" customFormat="false" ht="14.9" hidden="false" customHeight="false" outlineLevel="0" collapsed="false">
      <c r="B484" s="368"/>
      <c r="C484" s="368"/>
      <c r="D484" s="341" t="str">
        <f aca="false">+VLOOKUP($A481,BASEdades!$A$3:$AA$283,6,FALSE())</f>
        <v>.</v>
      </c>
      <c r="E484" s="348"/>
      <c r="F484" s="348"/>
      <c r="G484" s="348"/>
      <c r="H484" s="344"/>
      <c r="I484" s="370"/>
    </row>
    <row r="485" customFormat="false" ht="13.8" hidden="true" customHeight="false" outlineLevel="0" collapsed="false">
      <c r="B485" s="368"/>
      <c r="C485" s="368"/>
      <c r="D485" s="416" t="s">
        <v>1061</v>
      </c>
      <c r="E485" s="378" t="n">
        <f aca="false">+VLOOKUP($D485,PREUS!$B$1:$F$589,3,FALSE())</f>
        <v>36.4</v>
      </c>
      <c r="F485" s="378" t="str">
        <f aca="false">+VLOOKUP($D485,PREUS!$B$1:$F$589,4,FALSE())</f>
        <v>m</v>
      </c>
      <c r="G485" s="394" t="n">
        <f aca="false">(2.3*3+1.8+0.8)*1.331</f>
        <v>12.6445</v>
      </c>
      <c r="H485" s="419" t="n">
        <f aca="false">E485*G485</f>
        <v>460.2598</v>
      </c>
    </row>
    <row r="486" customFormat="false" ht="13.8" hidden="true" customHeight="false" outlineLevel="0" collapsed="false">
      <c r="B486" s="368"/>
      <c r="C486" s="368"/>
      <c r="D486" s="286" t="s">
        <v>1046</v>
      </c>
      <c r="E486" s="378" t="n">
        <v>20</v>
      </c>
      <c r="F486" s="378" t="str">
        <f aca="false">+VLOOKUP($D486,PREUS!$B$1:$F$589,4,FALSE())</f>
        <v>kg</v>
      </c>
      <c r="G486" s="394" t="n">
        <v>0.5</v>
      </c>
      <c r="H486" s="419" t="n">
        <f aca="false">E486*G486</f>
        <v>10</v>
      </c>
    </row>
    <row r="487" customFormat="false" ht="13.8" hidden="true" customHeight="false" outlineLevel="0" collapsed="false">
      <c r="B487" s="368"/>
      <c r="C487" s="368"/>
      <c r="D487" s="416" t="s">
        <v>1047</v>
      </c>
      <c r="E487" s="378" t="n">
        <f aca="false">+VLOOKUP($D487,PREUS!$B$1:$F$589,3,FALSE())</f>
        <v>30.76</v>
      </c>
      <c r="F487" s="378" t="str">
        <f aca="false">+VLOOKUP($D487,PREUS!$B$1:$F$589,4,FALSE())</f>
        <v>h</v>
      </c>
      <c r="G487" s="394" t="n">
        <v>5</v>
      </c>
      <c r="H487" s="419" t="n">
        <f aca="false">E487*G487</f>
        <v>153.8</v>
      </c>
    </row>
    <row r="488" customFormat="false" ht="13.8" hidden="true" customHeight="false" outlineLevel="0" collapsed="false">
      <c r="B488" s="368"/>
      <c r="C488" s="368"/>
      <c r="D488" s="416" t="s">
        <v>986</v>
      </c>
      <c r="E488" s="378" t="n">
        <f aca="false">+VLOOKUP($D488,PREUS!$B$1:$F$589,3,FALSE())</f>
        <v>25.8</v>
      </c>
      <c r="F488" s="378" t="str">
        <f aca="false">+VLOOKUP($D488,PREUS!$B$1:$F$589,4,FALSE())</f>
        <v>h</v>
      </c>
      <c r="G488" s="394" t="n">
        <v>5</v>
      </c>
      <c r="H488" s="419" t="n">
        <f aca="false">E488*G488</f>
        <v>129</v>
      </c>
    </row>
    <row r="489" customFormat="false" ht="13.8" hidden="true" customHeight="false" outlineLevel="0" collapsed="false">
      <c r="B489" s="368"/>
      <c r="C489" s="368"/>
      <c r="D489" s="286" t="s">
        <v>987</v>
      </c>
      <c r="E489" s="379" t="n">
        <f aca="false">SUM(H485:H488)</f>
        <v>753.0598</v>
      </c>
      <c r="F489" s="403" t="s">
        <v>988</v>
      </c>
      <c r="G489" s="422" t="n">
        <v>0.02</v>
      </c>
      <c r="H489" s="419" t="n">
        <f aca="false">E489*G489</f>
        <v>15.061196</v>
      </c>
    </row>
    <row r="490" s="277" customFormat="true" ht="13.8" hidden="false" customHeight="false" outlineLevel="0" collapsed="false">
      <c r="B490" s="361"/>
      <c r="C490" s="361"/>
      <c r="D490" s="351"/>
      <c r="E490" s="352"/>
      <c r="F490" s="352"/>
      <c r="G490" s="352"/>
      <c r="H490" s="359"/>
      <c r="I490" s="366"/>
      <c r="M490" s="0"/>
      <c r="N490" s="0"/>
    </row>
    <row r="491" customFormat="false" ht="13.8" hidden="false" customHeight="false" outlineLevel="0" collapsed="false">
      <c r="A491" s="329" t="s">
        <v>576</v>
      </c>
      <c r="B491" s="337"/>
      <c r="C491" s="337" t="str">
        <f aca="false">+VLOOKUP($A491,BASEdades!$A$3:$AA$283,3,FALSE())</f>
        <v>ut</v>
      </c>
      <c r="D491" s="367" t="str">
        <f aca="false">+VLOOKUP($A491,BASEdades!$A$3:$AA$298,2,FALSE())</f>
        <v>Font amb tronc</v>
      </c>
      <c r="E491" s="338"/>
      <c r="F491" s="338"/>
      <c r="G491" s="338"/>
      <c r="H491" s="340" t="n">
        <f aca="false">+VLOOKUP($A491,BASEdades!$A$3:$AA$283,7,FALSE())</f>
        <v>735.73</v>
      </c>
      <c r="I491" s="340" t="e">
        <f aca="false">#REF!*H491</f>
        <v>#REF!</v>
      </c>
    </row>
    <row r="492" customFormat="false" ht="68.65" hidden="false" customHeight="false" outlineLevel="0" collapsed="false">
      <c r="B492" s="368"/>
      <c r="C492" s="368"/>
      <c r="D492" s="353" t="str">
        <f aca="false">+VLOOKUP($A491,BASEdades!$A$3:$AA$283,4,FALSE())</f>
        <v>Subministrament i instal·lació de font feta amb tronc de fusta d'acàcia inspirada amb la natura i les seves formes. Inclou instal·lació de pericó prefabricat de poliopropile  de 300x300x300 registrable amb tapa cega de pvc reforçada i col·locada. Inclou connexió  a l'escomesa de max. 3m.</v>
      </c>
      <c r="E492" s="341"/>
      <c r="F492" s="341"/>
      <c r="G492" s="341"/>
      <c r="H492" s="344"/>
      <c r="I492" s="370"/>
    </row>
    <row r="493" customFormat="false" ht="14.9" hidden="false" customHeight="false" outlineLevel="0" collapsed="false">
      <c r="B493" s="368"/>
      <c r="C493" s="368"/>
      <c r="D493" s="341" t="str">
        <f aca="false">+VLOOKUP($A491,BASEdades!$A$3:$AA$283,5,FALSE())</f>
        <v>.mides: 26x26x110 cm</v>
      </c>
      <c r="E493" s="341"/>
      <c r="F493" s="341"/>
      <c r="G493" s="341"/>
      <c r="H493" s="344"/>
      <c r="I493" s="370"/>
    </row>
    <row r="494" customFormat="false" ht="14.9" hidden="false" customHeight="false" outlineLevel="0" collapsed="false">
      <c r="B494" s="368"/>
      <c r="C494" s="368"/>
      <c r="D494" s="341" t="str">
        <f aca="false">+VLOOKUP($A491,BASEdades!$A$3:$AA$283,6,FALSE())</f>
        <v>.</v>
      </c>
      <c r="E494" s="348"/>
      <c r="F494" s="348"/>
      <c r="G494" s="348"/>
      <c r="H494" s="344"/>
      <c r="I494" s="370"/>
    </row>
    <row r="495" customFormat="false" ht="13.8" hidden="true" customHeight="false" outlineLevel="0" collapsed="false">
      <c r="B495" s="368"/>
      <c r="C495" s="368"/>
      <c r="D495" s="416" t="s">
        <v>1064</v>
      </c>
      <c r="E495" s="378" t="n">
        <f aca="false">+VLOOKUP($D495,PREUS!$B$1:$F$589,3,FALSE())</f>
        <v>526.5</v>
      </c>
      <c r="F495" s="378" t="str">
        <f aca="false">+VLOOKUP($D495,PREUS!$B$1:$F$589,4,FALSE())</f>
        <v>ut</v>
      </c>
      <c r="G495" s="394" t="n">
        <v>1</v>
      </c>
      <c r="H495" s="419" t="n">
        <f aca="false">E495*G495</f>
        <v>526.5</v>
      </c>
    </row>
    <row r="496" customFormat="false" ht="13.8" hidden="true" customHeight="false" outlineLevel="0" collapsed="false">
      <c r="B496" s="368"/>
      <c r="C496" s="368"/>
      <c r="D496" s="416" t="s">
        <v>1047</v>
      </c>
      <c r="E496" s="378" t="n">
        <f aca="false">+VLOOKUP($D496,PREUS!$B$1:$F$589,3,FALSE())</f>
        <v>30.76</v>
      </c>
      <c r="F496" s="378" t="str">
        <f aca="false">+VLOOKUP($D496,PREUS!$B$1:$F$589,4,FALSE())</f>
        <v>h</v>
      </c>
      <c r="G496" s="418" t="n">
        <v>3.444</v>
      </c>
      <c r="H496" s="419" t="n">
        <f aca="false">E496*G496</f>
        <v>105.93744</v>
      </c>
    </row>
    <row r="497" customFormat="false" ht="13.8" hidden="true" customHeight="false" outlineLevel="0" collapsed="false">
      <c r="B497" s="368"/>
      <c r="C497" s="368"/>
      <c r="D497" s="416" t="s">
        <v>986</v>
      </c>
      <c r="E497" s="378" t="n">
        <f aca="false">+VLOOKUP($D497,PREUS!$B$1:$F$589,3,FALSE())</f>
        <v>25.8</v>
      </c>
      <c r="F497" s="378" t="str">
        <f aca="false">+VLOOKUP($D497,PREUS!$B$1:$F$589,4,FALSE())</f>
        <v>h</v>
      </c>
      <c r="G497" s="418" t="n">
        <v>3.4445</v>
      </c>
      <c r="H497" s="419" t="n">
        <f aca="false">E497*G497</f>
        <v>88.8681</v>
      </c>
    </row>
    <row r="498" customFormat="false" ht="13.8" hidden="true" customHeight="false" outlineLevel="0" collapsed="false">
      <c r="B498" s="368"/>
      <c r="C498" s="368"/>
      <c r="D498" s="286" t="s">
        <v>987</v>
      </c>
      <c r="E498" s="379" t="n">
        <f aca="false">SUM(H495:H497)</f>
        <v>721.30554</v>
      </c>
      <c r="F498" s="403" t="s">
        <v>988</v>
      </c>
      <c r="G498" s="422" t="n">
        <v>0.02</v>
      </c>
      <c r="H498" s="419" t="n">
        <f aca="false">E498*G498</f>
        <v>14.4261108</v>
      </c>
    </row>
    <row r="499" customFormat="false" ht="13.8" hidden="false" customHeight="false" outlineLevel="0" collapsed="false">
      <c r="B499" s="368"/>
      <c r="C499" s="368"/>
      <c r="D499" s="350"/>
      <c r="E499" s="348"/>
      <c r="F499" s="348"/>
      <c r="G499" s="348"/>
      <c r="H499" s="344"/>
      <c r="I499" s="370"/>
    </row>
    <row r="500" customFormat="false" ht="13.8" hidden="false" customHeight="false" outlineLevel="0" collapsed="false">
      <c r="A500" s="329" t="s">
        <v>588</v>
      </c>
      <c r="B500" s="337"/>
      <c r="C500" s="337" t="str">
        <f aca="false">+VLOOKUP($A500,BASEdades!$A$3:$AA$283,3,FALSE())</f>
        <v>ut</v>
      </c>
      <c r="D500" s="367" t="str">
        <f aca="false">+VLOOKUP($A500,BASEdades!$A$3:$AA$298,2,FALSE())</f>
        <v>Circuit d'aigua</v>
      </c>
      <c r="E500" s="338"/>
      <c r="F500" s="338"/>
      <c r="G500" s="338"/>
      <c r="H500" s="340" t="n">
        <f aca="false">+VLOOKUP($A500,BASEdades!$A$3:$AA$283,7,FALSE())</f>
        <v>1450</v>
      </c>
      <c r="I500" s="340" t="e">
        <f aca="false">#REF!*H500</f>
        <v>#REF!</v>
      </c>
    </row>
    <row r="501" customFormat="false" ht="41.75" hidden="false" customHeight="false" outlineLevel="0" collapsed="false">
      <c r="B501" s="368"/>
      <c r="C501" s="368"/>
      <c r="D501" s="353" t="str">
        <f aca="false">+VLOOKUP($A500,BASEdades!$A$3:$AA$283,4,FALSE())</f>
        <v>Subministrament i instal·lació de circuit d'aigua per a exterior format per un conjunt de troncs de fusta d'acàcia i dues plataformes de taulell de carrosser. </v>
      </c>
      <c r="E501" s="341"/>
      <c r="F501" s="341"/>
      <c r="G501" s="341"/>
      <c r="H501" s="344"/>
      <c r="I501" s="370"/>
    </row>
    <row r="502" customFormat="false" ht="14.9" hidden="false" customHeight="false" outlineLevel="0" collapsed="false">
      <c r="B502" s="368"/>
      <c r="C502" s="368"/>
      <c r="D502" s="341" t="str">
        <f aca="false">+VLOOKUP($A500,BASEdades!$A$3:$AA$283,5,FALSE())</f>
        <v>.mides: 3 canals de 140cm i 2 plataforma</v>
      </c>
      <c r="E502" s="341"/>
      <c r="F502" s="341"/>
      <c r="G502" s="341"/>
      <c r="H502" s="344"/>
      <c r="I502" s="370"/>
    </row>
    <row r="503" customFormat="false" ht="14.9" hidden="false" customHeight="false" outlineLevel="0" collapsed="false">
      <c r="B503" s="368"/>
      <c r="C503" s="368"/>
      <c r="D503" s="341" t="str">
        <f aca="false">+VLOOKUP($A500,BASEdades!$A$3:$AA$283,6,FALSE())</f>
        <v>.</v>
      </c>
      <c r="E503" s="348"/>
      <c r="F503" s="348"/>
      <c r="G503" s="348"/>
      <c r="H503" s="344"/>
      <c r="I503" s="370"/>
    </row>
    <row r="504" customFormat="false" ht="13.8" hidden="true" customHeight="false" outlineLevel="0" collapsed="false">
      <c r="B504" s="368"/>
      <c r="C504" s="368"/>
      <c r="D504" s="416" t="s">
        <v>585</v>
      </c>
      <c r="E504" s="378" t="n">
        <f aca="false">+VLOOKUP($D504,PREUS!$B$1:$F$589,3,FALSE())</f>
        <v>1268.75</v>
      </c>
      <c r="F504" s="378" t="str">
        <f aca="false">+VLOOKUP($D504,PREUS!$B$1:$F$589,4,FALSE())</f>
        <v>ut</v>
      </c>
      <c r="G504" s="394" t="n">
        <v>1</v>
      </c>
      <c r="H504" s="419" t="n">
        <f aca="false">E504*G504</f>
        <v>1268.75</v>
      </c>
    </row>
    <row r="505" customFormat="false" ht="13.8" hidden="true" customHeight="false" outlineLevel="0" collapsed="false">
      <c r="B505" s="368"/>
      <c r="C505" s="368"/>
      <c r="D505" s="416" t="s">
        <v>1047</v>
      </c>
      <c r="E505" s="378" t="n">
        <f aca="false">+VLOOKUP($D505,PREUS!$B$1:$F$589,3,FALSE())</f>
        <v>30.76</v>
      </c>
      <c r="F505" s="378" t="str">
        <f aca="false">+VLOOKUP($D505,PREUS!$B$1:$F$589,4,FALSE())</f>
        <v>h</v>
      </c>
      <c r="G505" s="418" t="n">
        <v>2.7035</v>
      </c>
      <c r="H505" s="419" t="n">
        <f aca="false">E505*G505</f>
        <v>83.15966</v>
      </c>
    </row>
    <row r="506" customFormat="false" ht="13.8" hidden="true" customHeight="false" outlineLevel="0" collapsed="false">
      <c r="B506" s="368"/>
      <c r="C506" s="368"/>
      <c r="D506" s="416" t="s">
        <v>986</v>
      </c>
      <c r="E506" s="378" t="n">
        <f aca="false">+VLOOKUP($D506,PREUS!$B$1:$F$589,3,FALSE())</f>
        <v>25.8</v>
      </c>
      <c r="F506" s="378" t="str">
        <f aca="false">+VLOOKUP($D506,PREUS!$B$1:$F$589,4,FALSE())</f>
        <v>h</v>
      </c>
      <c r="G506" s="418" t="n">
        <v>2.7</v>
      </c>
      <c r="H506" s="419" t="n">
        <f aca="false">E506*G506</f>
        <v>69.66</v>
      </c>
    </row>
    <row r="507" customFormat="false" ht="13.8" hidden="true" customHeight="false" outlineLevel="0" collapsed="false">
      <c r="B507" s="368"/>
      <c r="C507" s="368"/>
      <c r="D507" s="286" t="s">
        <v>987</v>
      </c>
      <c r="E507" s="379" t="n">
        <f aca="false">SUM(H504:H506)</f>
        <v>1421.56966</v>
      </c>
      <c r="F507" s="403" t="s">
        <v>988</v>
      </c>
      <c r="G507" s="422" t="n">
        <v>0.02</v>
      </c>
      <c r="H507" s="419" t="n">
        <f aca="false">E507*G507</f>
        <v>28.4313932</v>
      </c>
    </row>
    <row r="508" s="277" customFormat="true" ht="13.8" hidden="false" customHeight="false" outlineLevel="0" collapsed="false">
      <c r="B508" s="361"/>
      <c r="C508" s="361"/>
      <c r="D508" s="351"/>
      <c r="E508" s="352"/>
      <c r="F508" s="352"/>
      <c r="G508" s="352"/>
      <c r="H508" s="359"/>
      <c r="I508" s="366"/>
      <c r="M508" s="0"/>
      <c r="N508" s="0"/>
    </row>
    <row r="509" s="277" customFormat="true" ht="13.8" hidden="false" customHeight="false" outlineLevel="0" collapsed="false">
      <c r="A509" s="329" t="s">
        <v>292</v>
      </c>
      <c r="B509" s="337"/>
      <c r="C509" s="337" t="str">
        <f aca="false">+VLOOKUP($A509,BASEdades!$A$3:$AA$283,3,FALSE())</f>
        <v>ut</v>
      </c>
      <c r="D509" s="367" t="str">
        <f aca="false">+VLOOKUP($A509,BASEdades!$A$3:$AA$298,2,FALSE())</f>
        <v>Rotllo de fibra de coco</v>
      </c>
      <c r="E509" s="338"/>
      <c r="F509" s="338"/>
      <c r="G509" s="338"/>
      <c r="H509" s="340" t="n">
        <f aca="false">+VLOOKUP($A509,BASEdades!$A$3:$AA$283,7,FALSE())</f>
        <v>184.5</v>
      </c>
      <c r="I509" s="340" t="e">
        <f aca="false">#REF!*H509</f>
        <v>#REF!</v>
      </c>
      <c r="M509" s="0"/>
      <c r="N509" s="0"/>
    </row>
    <row r="510" s="277" customFormat="true" ht="32.25" hidden="false" customHeight="true" outlineLevel="0" collapsed="false">
      <c r="A510" s="286"/>
      <c r="B510" s="368"/>
      <c r="C510" s="368"/>
      <c r="D510" s="353" t="str">
        <f aca="false">+VLOOKUP($A509,BASEdades!$A$3:$AA$283,4,FALSE())</f>
        <v>Subministrament i instal·lació de rotllo de fibra de coco d'alta densitat compactada i estructurada en una xarxa de polipropilè.  </v>
      </c>
      <c r="E510" s="341"/>
      <c r="F510" s="341"/>
      <c r="G510" s="341"/>
      <c r="H510" s="344"/>
      <c r="I510" s="370"/>
      <c r="M510" s="0"/>
      <c r="N510" s="0"/>
    </row>
    <row r="511" s="277" customFormat="true" ht="14.9" hidden="false" customHeight="false" outlineLevel="0" collapsed="false">
      <c r="A511" s="286"/>
      <c r="B511" s="368"/>
      <c r="C511" s="368"/>
      <c r="D511" s="341" t="str">
        <f aca="false">+VLOOKUP($A509,BASEdades!$A$3:$AA$283,5,FALSE())</f>
        <v>.mides: 300cm x 30cm diàmetre</v>
      </c>
      <c r="E511" s="341"/>
      <c r="F511" s="341"/>
      <c r="G511" s="341"/>
      <c r="H511" s="344"/>
      <c r="I511" s="370"/>
      <c r="M511" s="0"/>
      <c r="N511" s="0"/>
    </row>
    <row r="512" s="277" customFormat="true" ht="14.9" hidden="false" customHeight="false" outlineLevel="0" collapsed="false">
      <c r="A512" s="286"/>
      <c r="B512" s="368"/>
      <c r="C512" s="368"/>
      <c r="D512" s="341" t="str">
        <f aca="false">+VLOOKUP($A509,BASEdades!$A$3:$AA$283,6,FALSE())</f>
        <v>.</v>
      </c>
      <c r="E512" s="348"/>
      <c r="F512" s="348"/>
      <c r="G512" s="348"/>
      <c r="H512" s="344"/>
      <c r="I512" s="370"/>
      <c r="M512" s="0"/>
      <c r="N512" s="0"/>
    </row>
    <row r="513" s="277" customFormat="true" ht="13.8" hidden="true" customHeight="false" outlineLevel="0" collapsed="false">
      <c r="A513" s="286"/>
      <c r="B513" s="368"/>
      <c r="C513" s="368"/>
      <c r="D513" s="416" t="s">
        <v>1065</v>
      </c>
      <c r="E513" s="378" t="n">
        <f aca="false">+VLOOKUP($D513,PREUS!$B$1:$F$589,3,FALSE())</f>
        <v>124.3</v>
      </c>
      <c r="F513" s="378" t="str">
        <f aca="false">+VLOOKUP($D513,PREUS!$B$1:$F$589,4,FALSE())</f>
        <v>ut</v>
      </c>
      <c r="G513" s="394" t="n">
        <v>1</v>
      </c>
      <c r="H513" s="419" t="n">
        <f aca="false">E513*G513</f>
        <v>124.3</v>
      </c>
      <c r="I513" s="370"/>
      <c r="M513" s="0"/>
      <c r="N513" s="0"/>
    </row>
    <row r="514" s="277" customFormat="true" ht="13.8" hidden="true" customHeight="false" outlineLevel="0" collapsed="false">
      <c r="A514" s="286"/>
      <c r="B514" s="368"/>
      <c r="C514" s="368"/>
      <c r="D514" s="416" t="s">
        <v>989</v>
      </c>
      <c r="E514" s="378" t="n">
        <f aca="false">+VLOOKUP($D514,PREUS!$B$1:$F$589,3,FALSE())</f>
        <v>30.79</v>
      </c>
      <c r="F514" s="378" t="str">
        <f aca="false">+VLOOKUP($D514,PREUS!$B$1:$F$589,4,FALSE())</f>
        <v>h</v>
      </c>
      <c r="G514" s="394" t="n">
        <v>1</v>
      </c>
      <c r="H514" s="419" t="n">
        <v>30.8</v>
      </c>
      <c r="I514" s="304"/>
      <c r="M514" s="0"/>
      <c r="N514" s="0"/>
    </row>
    <row r="515" s="277" customFormat="true" ht="13.8" hidden="true" customHeight="false" outlineLevel="0" collapsed="false">
      <c r="A515" s="286"/>
      <c r="B515" s="368"/>
      <c r="C515" s="368"/>
      <c r="D515" s="416" t="s">
        <v>986</v>
      </c>
      <c r="E515" s="378" t="n">
        <f aca="false">+VLOOKUP($D515,PREUS!$B$1:$F$589,3,FALSE())</f>
        <v>25.8</v>
      </c>
      <c r="F515" s="378" t="str">
        <f aca="false">+VLOOKUP($D515,PREUS!$B$1:$F$589,4,FALSE())</f>
        <v>h</v>
      </c>
      <c r="G515" s="394" t="n">
        <v>1</v>
      </c>
      <c r="H515" s="419" t="n">
        <f aca="false">E515*G515</f>
        <v>25.8</v>
      </c>
      <c r="I515" s="304"/>
      <c r="M515" s="0"/>
      <c r="N515" s="0"/>
    </row>
    <row r="516" s="277" customFormat="true" ht="13.8" hidden="true" customHeight="false" outlineLevel="0" collapsed="false">
      <c r="A516" s="286"/>
      <c r="B516" s="368"/>
      <c r="C516" s="368"/>
      <c r="D516" s="286" t="s">
        <v>987</v>
      </c>
      <c r="E516" s="379" t="n">
        <f aca="false">SUM(H513:H515)</f>
        <v>180.9</v>
      </c>
      <c r="F516" s="403" t="s">
        <v>988</v>
      </c>
      <c r="G516" s="422" t="n">
        <v>0.02</v>
      </c>
      <c r="H516" s="419" t="n">
        <f aca="false">E516*G516</f>
        <v>3.618</v>
      </c>
      <c r="I516" s="304"/>
      <c r="M516" s="0"/>
      <c r="N516" s="0"/>
    </row>
    <row r="517" customFormat="false" ht="13.8" hidden="false" customHeight="false" outlineLevel="0" collapsed="false">
      <c r="B517" s="368"/>
      <c r="C517" s="368"/>
      <c r="D517" s="350"/>
      <c r="E517" s="348"/>
      <c r="F517" s="348"/>
      <c r="G517" s="348"/>
      <c r="H517" s="344"/>
      <c r="I517" s="370"/>
    </row>
    <row r="518" customFormat="false" ht="13.8" hidden="false" customHeight="false" outlineLevel="0" collapsed="false">
      <c r="A518" s="329" t="s">
        <v>321</v>
      </c>
      <c r="B518" s="337"/>
      <c r="C518" s="337" t="str">
        <f aca="false">+VLOOKUP($A518,[1]BASEdades!$A$3:$AA$282,3,FALSE())</f>
        <v>ut</v>
      </c>
      <c r="D518" s="367" t="str">
        <f aca="false">+VLOOKUP($A518,[1]BASEdades!$A$3:$AA$297,2,FALSE())</f>
        <v>Rampa de tronc d'acàcia</v>
      </c>
      <c r="E518" s="338"/>
      <c r="F518" s="338"/>
      <c r="G518" s="338"/>
      <c r="H518" s="340" t="n">
        <f aca="false">+VLOOKUP($A518,[1]BASEdades!$A$3:$AA$282,7,FALSE())</f>
        <v>154</v>
      </c>
      <c r="I518" s="340" t="e">
        <f aca="false">#REF!*H518</f>
        <v>#REF!</v>
      </c>
    </row>
    <row r="519" customFormat="false" ht="14.9" hidden="false" customHeight="false" outlineLevel="0" collapsed="false">
      <c r="B519" s="368"/>
      <c r="C519" s="368"/>
      <c r="D519" s="353" t="str">
        <f aca="false">+VLOOKUP($A518,[1]BASEdades!$A$3:$AA$282,4,FALSE())</f>
        <v>Subministrament i col.locació de rampa de fusta d'acàcia</v>
      </c>
      <c r="E519" s="341"/>
      <c r="F519" s="341"/>
      <c r="G519" s="341"/>
      <c r="H519" s="344"/>
      <c r="I519" s="370"/>
    </row>
    <row r="520" customFormat="false" ht="14.9" hidden="false" customHeight="false" outlineLevel="0" collapsed="false">
      <c r="B520" s="368"/>
      <c r="C520" s="368"/>
      <c r="D520" s="341" t="str">
        <f aca="false">+VLOOKUP($A518,[1]BASEdades!$A$3:$AA$282,5,FALSE())</f>
        <v>.mides: 120x45cm</v>
      </c>
      <c r="E520" s="341"/>
      <c r="F520" s="341"/>
      <c r="G520" s="341"/>
      <c r="H520" s="344"/>
      <c r="I520" s="370"/>
    </row>
    <row r="521" customFormat="false" ht="14.9" hidden="false" customHeight="false" outlineLevel="0" collapsed="false">
      <c r="B521" s="368"/>
      <c r="C521" s="368"/>
      <c r="D521" s="341" t="str">
        <f aca="false">+VLOOKUP($A518,[1]BASEdades!$A$3:$AA$282,6,FALSE())</f>
        <v>.</v>
      </c>
      <c r="E521" s="348"/>
      <c r="F521" s="348"/>
      <c r="G521" s="348"/>
      <c r="H521" s="344"/>
      <c r="I521" s="370"/>
    </row>
    <row r="522" customFormat="false" ht="13.8" hidden="true" customHeight="false" outlineLevel="0" collapsed="false">
      <c r="B522" s="368"/>
      <c r="C522" s="368"/>
      <c r="D522" s="416" t="s">
        <v>1066</v>
      </c>
      <c r="E522" s="378" t="n">
        <f aca="false">+VLOOKUP($D522,PREUS!$B$1:$F$589,3,FALSE())</f>
        <v>123.5</v>
      </c>
      <c r="F522" s="378" t="str">
        <f aca="false">+VLOOKUP($D522,PREUS!$B$1:$F$589,4,FALSE())</f>
        <v>ut</v>
      </c>
      <c r="G522" s="394" t="n">
        <v>1</v>
      </c>
      <c r="H522" s="419" t="n">
        <f aca="false">E522*G522</f>
        <v>123.5</v>
      </c>
      <c r="I522" s="370"/>
    </row>
    <row r="523" customFormat="false" ht="13.8" hidden="true" customHeight="false" outlineLevel="0" collapsed="false">
      <c r="B523" s="368"/>
      <c r="C523" s="368"/>
      <c r="D523" s="416" t="s">
        <v>989</v>
      </c>
      <c r="E523" s="378" t="n">
        <f aca="false">+VLOOKUP($D523,PREUS!$B$1:$F$589,3,FALSE())</f>
        <v>30.79</v>
      </c>
      <c r="F523" s="378" t="str">
        <f aca="false">+VLOOKUP($D523,PREUS!$B$1:$F$589,4,FALSE())</f>
        <v>h</v>
      </c>
      <c r="G523" s="418" t="n">
        <v>0.4855</v>
      </c>
      <c r="H523" s="419" t="n">
        <f aca="false">E523*G523</f>
        <v>14.948545</v>
      </c>
    </row>
    <row r="524" customFormat="false" ht="13.8" hidden="true" customHeight="false" outlineLevel="0" collapsed="false">
      <c r="B524" s="368"/>
      <c r="C524" s="368"/>
      <c r="D524" s="416" t="s">
        <v>986</v>
      </c>
      <c r="E524" s="378" t="n">
        <f aca="false">+VLOOKUP($D524,PREUS!$B$1:$F$589,3,FALSE())</f>
        <v>25.8</v>
      </c>
      <c r="F524" s="378" t="str">
        <f aca="false">+VLOOKUP($D524,PREUS!$B$1:$F$589,4,FALSE())</f>
        <v>h</v>
      </c>
      <c r="G524" s="418" t="n">
        <v>0.4858</v>
      </c>
      <c r="H524" s="419" t="n">
        <f aca="false">E524*G524</f>
        <v>12.53364</v>
      </c>
    </row>
    <row r="525" customFormat="false" ht="13.8" hidden="true" customHeight="false" outlineLevel="0" collapsed="false">
      <c r="B525" s="368"/>
      <c r="C525" s="368"/>
      <c r="D525" s="286" t="s">
        <v>987</v>
      </c>
      <c r="E525" s="379" t="n">
        <f aca="false">SUM(H522:H524)</f>
        <v>150.982185</v>
      </c>
      <c r="F525" s="403" t="s">
        <v>988</v>
      </c>
      <c r="G525" s="422" t="n">
        <v>0.02</v>
      </c>
      <c r="H525" s="419" t="n">
        <f aca="false">E525*G525</f>
        <v>3.0196437</v>
      </c>
    </row>
    <row r="526" customFormat="false" ht="13.8" hidden="false" customHeight="false" outlineLevel="0" collapsed="false">
      <c r="B526" s="368"/>
      <c r="C526" s="368"/>
      <c r="D526" s="350"/>
      <c r="E526" s="348"/>
      <c r="F526" s="348"/>
      <c r="G526" s="348"/>
      <c r="H526" s="344"/>
      <c r="I526" s="370"/>
    </row>
    <row r="527" customFormat="false" ht="13.8" hidden="false" customHeight="false" outlineLevel="0" collapsed="false">
      <c r="A527" s="329" t="s">
        <v>545</v>
      </c>
      <c r="B527" s="337"/>
      <c r="C527" s="337" t="str">
        <f aca="false">+VLOOKUP($A527,[1]BASEdades!$A$3:$AA$282,3,FALSE())</f>
        <v>ut</v>
      </c>
      <c r="D527" s="367" t="str">
        <f aca="false">+VLOOKUP($A527,[1]BASEdades!$A$3:$AA$297,2,FALSE())</f>
        <v>Tipi hexagonal petit</v>
      </c>
      <c r="E527" s="338"/>
      <c r="F527" s="338"/>
      <c r="G527" s="338"/>
      <c r="H527" s="340" t="n">
        <f aca="false">+VLOOKUP($A527,[1]BASEdades!$A$3:$AA$282,7,FALSE())</f>
        <v>2355.4</v>
      </c>
      <c r="I527" s="340" t="e">
        <f aca="false">#REF!*H527</f>
        <v>#REF!</v>
      </c>
    </row>
    <row r="528" customFormat="false" ht="28.35" hidden="false" customHeight="false" outlineLevel="0" collapsed="false">
      <c r="B528" s="368"/>
      <c r="C528" s="368"/>
      <c r="D528" s="353" t="str">
        <f aca="false">+VLOOKUP($A527,[1]BASEdades!$A$3:$AA$282,4,FALSE())</f>
        <v>Subministrament i instal.lació de cabana de fusta amb forma de tipi de sis costats per a exterior. </v>
      </c>
      <c r="E528" s="341"/>
      <c r="F528" s="341"/>
      <c r="G528" s="341"/>
      <c r="H528" s="344"/>
      <c r="I528" s="370"/>
    </row>
    <row r="529" s="277" customFormat="true" ht="14.9" hidden="false" customHeight="false" outlineLevel="0" collapsed="false">
      <c r="B529" s="368"/>
      <c r="C529" s="368"/>
      <c r="D529" s="341" t="str">
        <f aca="false">+VLOOKUP($A527,[1]BASEdades!$A$3:$AA$282,5,FALSE())</f>
        <v>.mides: Diàmetre 143cm Altura 205cm</v>
      </c>
      <c r="E529" s="341"/>
      <c r="F529" s="341"/>
      <c r="G529" s="362"/>
      <c r="H529" s="359"/>
      <c r="I529" s="366"/>
      <c r="M529" s="0"/>
      <c r="N529" s="0"/>
    </row>
    <row r="530" s="277" customFormat="true" ht="14.9" hidden="false" customHeight="false" outlineLevel="0" collapsed="false">
      <c r="B530" s="368"/>
      <c r="C530" s="368"/>
      <c r="D530" s="341" t="str">
        <f aca="false">+VLOOKUP($A527,[1]BASEdades!$A$3:$AA$282,6,FALSE())</f>
        <v>.</v>
      </c>
      <c r="E530" s="348"/>
      <c r="F530" s="348"/>
      <c r="G530" s="352"/>
      <c r="H530" s="359"/>
      <c r="I530" s="366"/>
      <c r="M530" s="0"/>
      <c r="N530" s="0"/>
    </row>
    <row r="531" customFormat="false" ht="13.8" hidden="true" customHeight="false" outlineLevel="0" collapsed="false">
      <c r="B531" s="368"/>
      <c r="C531" s="368"/>
      <c r="D531" s="416" t="s">
        <v>1067</v>
      </c>
      <c r="E531" s="378" t="n">
        <f aca="false">+VLOOKUP($D531,PREUS!$B$1:$F$589,3,FALSE())</f>
        <v>2084.51</v>
      </c>
      <c r="F531" s="378" t="str">
        <f aca="false">+VLOOKUP($D531,PREUS!$B$1:$F$589,4,FALSE())</f>
        <v>ut</v>
      </c>
      <c r="G531" s="394" t="n">
        <v>1</v>
      </c>
      <c r="H531" s="419" t="n">
        <f aca="false">E531*G531</f>
        <v>2084.51</v>
      </c>
    </row>
    <row r="532" customFormat="false" ht="13.8" hidden="true" customHeight="false" outlineLevel="0" collapsed="false">
      <c r="B532" s="368"/>
      <c r="C532" s="368"/>
      <c r="D532" s="416" t="s">
        <v>1047</v>
      </c>
      <c r="E532" s="378" t="n">
        <f aca="false">+VLOOKUP($D532,PREUS!$B$1:$F$589,3,FALSE())</f>
        <v>30.76</v>
      </c>
      <c r="F532" s="378" t="str">
        <f aca="false">+VLOOKUP($D532,PREUS!$B$1:$F$589,4,FALSE())</f>
        <v>h</v>
      </c>
      <c r="G532" s="394" t="n">
        <v>4</v>
      </c>
      <c r="H532" s="419" t="n">
        <f aca="false">E532*G532</f>
        <v>123.04</v>
      </c>
    </row>
    <row r="533" customFormat="false" ht="13.8" hidden="true" customHeight="false" outlineLevel="0" collapsed="false">
      <c r="B533" s="368"/>
      <c r="C533" s="368"/>
      <c r="D533" s="416" t="s">
        <v>986</v>
      </c>
      <c r="E533" s="378" t="n">
        <f aca="false">+VLOOKUP($D533,PREUS!$B$1:$F$589,3,FALSE())</f>
        <v>25.8</v>
      </c>
      <c r="F533" s="378" t="str">
        <f aca="false">+VLOOKUP($D533,PREUS!$B$1:$F$589,4,FALSE())</f>
        <v>h</v>
      </c>
      <c r="G533" s="394" t="n">
        <v>4</v>
      </c>
      <c r="H533" s="419" t="n">
        <f aca="false">E533*G533</f>
        <v>103.2</v>
      </c>
    </row>
    <row r="534" customFormat="false" ht="13.8" hidden="true" customHeight="false" outlineLevel="0" collapsed="false">
      <c r="B534" s="368"/>
      <c r="C534" s="368"/>
      <c r="D534" s="286" t="s">
        <v>987</v>
      </c>
      <c r="E534" s="379" t="n">
        <f aca="false">SUM(H531:H533)</f>
        <v>2310.75</v>
      </c>
      <c r="F534" s="403" t="s">
        <v>988</v>
      </c>
      <c r="G534" s="422" t="n">
        <v>0.02</v>
      </c>
      <c r="H534" s="419" t="n">
        <f aca="false">E534*G534</f>
        <v>46.215</v>
      </c>
    </row>
    <row r="535" s="277" customFormat="true" ht="13.8" hidden="false" customHeight="false" outlineLevel="0" collapsed="false">
      <c r="B535" s="361"/>
      <c r="C535" s="361"/>
      <c r="D535" s="362"/>
      <c r="E535" s="352"/>
      <c r="F535" s="352"/>
      <c r="G535" s="352"/>
      <c r="H535" s="359"/>
      <c r="I535" s="366"/>
      <c r="M535" s="0"/>
      <c r="N535" s="0"/>
    </row>
    <row r="536" customFormat="false" ht="13.8" hidden="false" customHeight="false" outlineLevel="0" collapsed="false">
      <c r="A536" s="329" t="s">
        <v>541</v>
      </c>
      <c r="B536" s="375"/>
      <c r="C536" s="337" t="str">
        <f aca="false">+VLOOKUP($A536,[1]BASEdades!$A$3:$AA$282,3,FALSE())</f>
        <v>ut</v>
      </c>
      <c r="D536" s="367" t="str">
        <f aca="false">+VLOOKUP($A536,[1]BASEdades!$A$3:$AA$297,2,FALSE())</f>
        <v>Cabana niu d'ocells</v>
      </c>
      <c r="E536" s="338"/>
      <c r="F536" s="338"/>
      <c r="G536" s="338"/>
      <c r="H536" s="340" t="n">
        <f aca="false">+VLOOKUP($A536,[1]BASEdades!$A$3:$AA$282,7,FALSE())</f>
        <v>2862</v>
      </c>
      <c r="I536" s="340" t="e">
        <f aca="false">#REF!*H536</f>
        <v>#REF!</v>
      </c>
    </row>
    <row r="537" customFormat="false" ht="28.35" hidden="false" customHeight="false" outlineLevel="0" collapsed="false">
      <c r="B537" s="368"/>
      <c r="C537" s="368"/>
      <c r="D537" s="353" t="str">
        <f aca="false">+VLOOKUP($A536,[1]BASEdades!$A$3:$AA$282,4,FALSE())</f>
        <v>Subministrament i instal.lació de cabana de fusta d'càcia en forma de niu d'ocell. </v>
      </c>
      <c r="E537" s="341"/>
      <c r="F537" s="341"/>
      <c r="G537" s="341"/>
      <c r="H537" s="344"/>
      <c r="I537" s="370"/>
    </row>
    <row r="538" customFormat="false" ht="14.9" hidden="false" customHeight="false" outlineLevel="0" collapsed="false">
      <c r="B538" s="368"/>
      <c r="C538" s="368"/>
      <c r="D538" s="341" t="str">
        <f aca="false">+VLOOKUP($A536,[1]BASEdades!$A$3:$AA$282,5,FALSE())</f>
        <v>.mides: 120x160x125cm (h.25cm per sobre terra)</v>
      </c>
      <c r="E538" s="341"/>
      <c r="F538" s="341"/>
      <c r="G538" s="341"/>
      <c r="H538" s="344"/>
      <c r="I538" s="370"/>
    </row>
    <row r="539" customFormat="false" ht="14.9" hidden="false" customHeight="false" outlineLevel="0" collapsed="false">
      <c r="B539" s="368"/>
      <c r="C539" s="368"/>
      <c r="D539" s="341" t="str">
        <f aca="false">+VLOOKUP($A536,[1]BASEdades!$A$3:$AA$282,6,FALSE())</f>
        <v>.</v>
      </c>
      <c r="E539" s="348"/>
      <c r="F539" s="348"/>
      <c r="G539" s="348"/>
      <c r="H539" s="344"/>
      <c r="I539" s="370"/>
    </row>
    <row r="540" customFormat="false" ht="13.8" hidden="true" customHeight="false" outlineLevel="0" collapsed="false">
      <c r="B540" s="368"/>
      <c r="C540" s="368"/>
      <c r="D540" s="416" t="s">
        <v>1068</v>
      </c>
      <c r="E540" s="378" t="n">
        <f aca="false">+VLOOKUP($D540,PREUS!$B$1:$F$589,3,FALSE())</f>
        <v>2115</v>
      </c>
      <c r="F540" s="378" t="str">
        <f aca="false">+VLOOKUP($D540,PREUS!$B$1:$F$589,4,FALSE())</f>
        <v>ut</v>
      </c>
      <c r="G540" s="394" t="n">
        <v>1</v>
      </c>
      <c r="H540" s="419" t="n">
        <f aca="false">E540*G540</f>
        <v>2115</v>
      </c>
    </row>
    <row r="541" customFormat="false" ht="13.8" hidden="true" customHeight="false" outlineLevel="0" collapsed="false">
      <c r="B541" s="368"/>
      <c r="C541" s="368"/>
      <c r="D541" s="416" t="s">
        <v>1047</v>
      </c>
      <c r="E541" s="378" t="n">
        <f aca="false">+VLOOKUP($D541,PREUS!$B$1:$F$589,3,FALSE())</f>
        <v>30.76</v>
      </c>
      <c r="F541" s="378" t="str">
        <f aca="false">+VLOOKUP($D541,PREUS!$B$1:$F$589,4,FALSE())</f>
        <v>h</v>
      </c>
      <c r="G541" s="394" t="n">
        <v>12</v>
      </c>
      <c r="H541" s="419" t="n">
        <f aca="false">E541*G541</f>
        <v>369.12</v>
      </c>
    </row>
    <row r="542" customFormat="false" ht="13.8" hidden="true" customHeight="false" outlineLevel="0" collapsed="false">
      <c r="B542" s="368"/>
      <c r="C542" s="368"/>
      <c r="D542" s="416" t="s">
        <v>986</v>
      </c>
      <c r="E542" s="378" t="n">
        <f aca="false">+VLOOKUP($D542,PREUS!$B$1:$F$589,3,FALSE())</f>
        <v>25.8</v>
      </c>
      <c r="F542" s="378" t="str">
        <f aca="false">+VLOOKUP($D542,PREUS!$B$1:$F$589,4,FALSE())</f>
        <v>h</v>
      </c>
      <c r="G542" s="394" t="n">
        <v>12</v>
      </c>
      <c r="H542" s="419" t="n">
        <f aca="false">E542*G542</f>
        <v>309.6</v>
      </c>
    </row>
    <row r="543" customFormat="false" ht="13.8" hidden="true" customHeight="false" outlineLevel="0" collapsed="false">
      <c r="B543" s="368"/>
      <c r="C543" s="368"/>
      <c r="D543" s="286" t="s">
        <v>987</v>
      </c>
      <c r="E543" s="379" t="n">
        <f aca="false">SUM(H540:H542)</f>
        <v>2793.72</v>
      </c>
      <c r="F543" s="403" t="s">
        <v>988</v>
      </c>
      <c r="G543" s="422" t="n">
        <v>0.02</v>
      </c>
      <c r="H543" s="419" t="n">
        <f aca="false">E543*G543</f>
        <v>55.8744</v>
      </c>
    </row>
    <row r="544" s="277" customFormat="true" ht="13.8" hidden="false" customHeight="false" outlineLevel="0" collapsed="false">
      <c r="B544" s="368"/>
      <c r="C544" s="368"/>
      <c r="D544" s="341"/>
      <c r="E544" s="348"/>
      <c r="F544" s="348"/>
      <c r="G544" s="348"/>
      <c r="H544" s="344"/>
      <c r="I544" s="370"/>
      <c r="J544" s="286"/>
      <c r="M544" s="0"/>
      <c r="N544" s="0"/>
    </row>
    <row r="545" s="277" customFormat="true" ht="13.8" hidden="false" customHeight="false" outlineLevel="0" collapsed="false">
      <c r="A545" s="354" t="s">
        <v>316</v>
      </c>
      <c r="B545" s="337"/>
      <c r="C545" s="337" t="str">
        <f aca="false">+VLOOKUP($A545,[1]BASEdades!$A$3:$AA$282,3,FALSE())</f>
        <v>ut</v>
      </c>
      <c r="D545" s="367" t="str">
        <f aca="false">+VLOOKUP($A545,[1]BASEdades!$A$3:$AA$297,2,FALSE())</f>
        <v>Xarxa per grimpar </v>
      </c>
      <c r="E545" s="338"/>
      <c r="F545" s="338"/>
      <c r="G545" s="338"/>
      <c r="H545" s="340" t="n">
        <f aca="false">+VLOOKUP($A545,[1]BASEdades!$A$3:$AA$282,7,FALSE())</f>
        <v>780</v>
      </c>
      <c r="I545" s="340" t="e">
        <f aca="false">#REF!*H545</f>
        <v>#REF!</v>
      </c>
      <c r="J545" s="286"/>
      <c r="M545" s="0"/>
      <c r="N545" s="0"/>
    </row>
    <row r="546" s="277" customFormat="true" ht="28.35" hidden="false" customHeight="false" outlineLevel="0" collapsed="false">
      <c r="B546" s="368"/>
      <c r="C546" s="368"/>
      <c r="D546" s="353" t="str">
        <f aca="false">+VLOOKUP($A545,[1]BASEdades!$A$3:$AA$282,4,FALSE())</f>
        <v>Subministrament i instal·lació d'estructura de 4 troncs d'acàcia amb xarxa de corda. </v>
      </c>
      <c r="E546" s="341"/>
      <c r="F546" s="341"/>
      <c r="G546" s="341"/>
      <c r="H546" s="344"/>
      <c r="I546" s="370"/>
      <c r="J546" s="286"/>
      <c r="M546" s="0"/>
      <c r="N546" s="0"/>
    </row>
    <row r="547" s="277" customFormat="true" ht="14.9" hidden="false" customHeight="false" outlineLevel="0" collapsed="false">
      <c r="B547" s="368"/>
      <c r="C547" s="368"/>
      <c r="D547" s="341" t="str">
        <f aca="false">+VLOOKUP($A545,[1]BASEdades!$A$3:$AA$282,5,FALSE())</f>
        <v>.mides 1,8x1,80m</v>
      </c>
      <c r="E547" s="341"/>
      <c r="F547" s="341"/>
      <c r="G547" s="341"/>
      <c r="H547" s="344"/>
      <c r="I547" s="370"/>
      <c r="J547" s="286"/>
      <c r="M547" s="0"/>
      <c r="N547" s="0"/>
    </row>
    <row r="548" s="277" customFormat="true" ht="14.9" hidden="false" customHeight="false" outlineLevel="0" collapsed="false">
      <c r="B548" s="368"/>
      <c r="C548" s="368"/>
      <c r="D548" s="341" t="str">
        <f aca="false">+VLOOKUP($A545,[1]BASEdades!$A$3:$AA$282,6,FALSE())</f>
        <v>.</v>
      </c>
      <c r="E548" s="348"/>
      <c r="F548" s="348"/>
      <c r="G548" s="348"/>
      <c r="H548" s="344"/>
      <c r="I548" s="370"/>
      <c r="J548" s="286"/>
      <c r="M548" s="0"/>
      <c r="N548" s="0"/>
    </row>
    <row r="549" s="277" customFormat="true" ht="15" hidden="true" customHeight="true" outlineLevel="0" collapsed="false">
      <c r="B549" s="368"/>
      <c r="C549" s="368"/>
      <c r="D549" s="423" t="s">
        <v>1069</v>
      </c>
      <c r="E549" s="378" t="n">
        <f aca="false">+VLOOKUP($D549,PREUS!$B$1:$F$589,3,FALSE())</f>
        <v>560</v>
      </c>
      <c r="F549" s="378" t="str">
        <f aca="false">+VLOOKUP($D549,PREUS!$B$1:$F$589,4,FALSE())</f>
        <v>ut</v>
      </c>
      <c r="G549" s="394" t="n">
        <v>1</v>
      </c>
      <c r="H549" s="419" t="n">
        <f aca="false">E549*G549</f>
        <v>560</v>
      </c>
      <c r="I549" s="304"/>
      <c r="J549" s="286"/>
      <c r="M549" s="0"/>
      <c r="N549" s="0"/>
    </row>
    <row r="550" s="277" customFormat="true" ht="13.8" hidden="true" customHeight="false" outlineLevel="0" collapsed="false">
      <c r="B550" s="368"/>
      <c r="C550" s="368"/>
      <c r="D550" s="416" t="s">
        <v>1047</v>
      </c>
      <c r="E550" s="378" t="n">
        <f aca="false">+VLOOKUP($D550,PREUS!$B$1:$F$589,3,FALSE())</f>
        <v>30.76</v>
      </c>
      <c r="F550" s="378" t="str">
        <f aca="false">+VLOOKUP($D550,PREUS!$B$1:$F$589,4,FALSE())</f>
        <v>h</v>
      </c>
      <c r="G550" s="394" t="n">
        <v>3.63</v>
      </c>
      <c r="H550" s="419" t="n">
        <f aca="false">E550*G550</f>
        <v>111.6588</v>
      </c>
      <c r="I550" s="304"/>
      <c r="J550" s="286"/>
      <c r="M550" s="0"/>
      <c r="N550" s="0"/>
    </row>
    <row r="551" s="277" customFormat="true" ht="13.8" hidden="true" customHeight="false" outlineLevel="0" collapsed="false">
      <c r="B551" s="368"/>
      <c r="C551" s="368"/>
      <c r="D551" s="416" t="s">
        <v>986</v>
      </c>
      <c r="E551" s="378" t="n">
        <f aca="false">+VLOOKUP($D551,PREUS!$B$1:$F$589,3,FALSE())</f>
        <v>25.8</v>
      </c>
      <c r="F551" s="378" t="str">
        <f aca="false">+VLOOKUP($D551,PREUS!$B$1:$F$589,4,FALSE())</f>
        <v>h</v>
      </c>
      <c r="G551" s="418" t="n">
        <v>3.6065</v>
      </c>
      <c r="H551" s="419" t="n">
        <f aca="false">E551*G551</f>
        <v>93.0477</v>
      </c>
      <c r="I551" s="304"/>
      <c r="J551" s="286"/>
      <c r="M551" s="0"/>
      <c r="N551" s="0"/>
    </row>
    <row r="552" s="277" customFormat="true" ht="13.8" hidden="true" customHeight="false" outlineLevel="0" collapsed="false">
      <c r="B552" s="368"/>
      <c r="C552" s="368"/>
      <c r="D552" s="286" t="s">
        <v>987</v>
      </c>
      <c r="E552" s="379" t="n">
        <f aca="false">SUM(H549:H551)</f>
        <v>764.7065</v>
      </c>
      <c r="F552" s="403" t="s">
        <v>988</v>
      </c>
      <c r="G552" s="394" t="n">
        <v>0.02</v>
      </c>
      <c r="H552" s="419" t="n">
        <f aca="false">E552*G552</f>
        <v>15.29413</v>
      </c>
      <c r="I552" s="304"/>
      <c r="J552" s="286"/>
      <c r="M552" s="0"/>
      <c r="N552" s="0"/>
    </row>
    <row r="553" s="277" customFormat="true" ht="13.8" hidden="false" customHeight="false" outlineLevel="0" collapsed="false">
      <c r="B553" s="368"/>
      <c r="C553" s="368"/>
      <c r="D553" s="350"/>
      <c r="E553" s="348"/>
      <c r="F553" s="348"/>
      <c r="G553" s="348"/>
      <c r="H553" s="344"/>
      <c r="I553" s="370"/>
      <c r="J553" s="286"/>
      <c r="M553" s="0"/>
      <c r="N553" s="0"/>
    </row>
    <row r="554" customFormat="false" ht="13.8" hidden="false" customHeight="false" outlineLevel="0" collapsed="false">
      <c r="A554" s="329" t="s">
        <v>528</v>
      </c>
      <c r="B554" s="337"/>
      <c r="C554" s="337" t="str">
        <f aca="false">+VLOOKUP($A554,[1]BASEdades!$A$3:$AA$282,3,FALSE())</f>
        <v>ut</v>
      </c>
      <c r="D554" s="367" t="str">
        <f aca="false">+VLOOKUP($A554,[1]BASEdades!$A$3:$AA$297,2,FALSE())</f>
        <v>Cabana de fusta</v>
      </c>
      <c r="E554" s="338"/>
      <c r="F554" s="338"/>
      <c r="G554" s="338"/>
      <c r="H554" s="340" t="n">
        <f aca="false">+VLOOKUP($A554,[1]BASEdades!$A$3:$AA$282,7,FALSE())</f>
        <v>1636.37</v>
      </c>
      <c r="I554" s="340" t="e">
        <f aca="false">#REF!*H554</f>
        <v>#REF!</v>
      </c>
    </row>
    <row r="555" customFormat="false" ht="28.35" hidden="false" customHeight="false" outlineLevel="0" collapsed="false">
      <c r="B555" s="368"/>
      <c r="C555" s="368"/>
      <c r="D555" s="353" t="str">
        <f aca="false">+VLOOKUP($A554,[1]BASEdades!$A$3:$AA$282,4,FALSE())</f>
        <v>Subministrament i instal.lació de cabana de fusta amb teulada a dues aigües i finestres.</v>
      </c>
      <c r="E555" s="341"/>
      <c r="F555" s="341"/>
      <c r="G555" s="341"/>
      <c r="H555" s="344"/>
      <c r="I555" s="370"/>
    </row>
    <row r="556" customFormat="false" ht="14.9" hidden="false" customHeight="false" outlineLevel="0" collapsed="false">
      <c r="B556" s="368"/>
      <c r="C556" s="368"/>
      <c r="D556" s="341" t="str">
        <f aca="false">+VLOOKUP($A554,[1]BASEdades!$A$3:$AA$282,5,FALSE())</f>
        <v>.mides: 140x160x155cm</v>
      </c>
      <c r="E556" s="341"/>
      <c r="F556" s="341"/>
      <c r="G556" s="341"/>
      <c r="H556" s="344"/>
      <c r="I556" s="370"/>
    </row>
    <row r="557" customFormat="false" ht="14.9" hidden="false" customHeight="false" outlineLevel="0" collapsed="false">
      <c r="B557" s="368"/>
      <c r="C557" s="368"/>
      <c r="D557" s="341" t="str">
        <f aca="false">+VLOOKUP($A554,[1]BASEdades!$A$3:$AA$282,6,FALSE())</f>
        <v>.</v>
      </c>
      <c r="E557" s="348"/>
      <c r="F557" s="348"/>
      <c r="G557" s="348"/>
      <c r="H557" s="344"/>
      <c r="I557" s="370"/>
    </row>
    <row r="558" customFormat="false" ht="13.8" hidden="true" customHeight="false" outlineLevel="0" collapsed="false">
      <c r="B558" s="368"/>
      <c r="C558" s="368"/>
      <c r="D558" s="416" t="s">
        <v>1070</v>
      </c>
      <c r="E558" s="378" t="n">
        <f aca="false">+VLOOKUP($D558,PREUS!$B$1:$F$589,3,FALSE())</f>
        <v>967.15</v>
      </c>
      <c r="F558" s="378" t="str">
        <f aca="false">+VLOOKUP($D558,PREUS!$B$1:$F$589,4,FALSE())</f>
        <v>ut</v>
      </c>
      <c r="G558" s="394" t="n">
        <v>1</v>
      </c>
      <c r="H558" s="419" t="n">
        <f aca="false">E558*G558</f>
        <v>967.15</v>
      </c>
    </row>
    <row r="559" customFormat="false" ht="13.8" hidden="true" customHeight="false" outlineLevel="0" collapsed="false">
      <c r="B559" s="368"/>
      <c r="C559" s="368"/>
      <c r="D559" s="416" t="s">
        <v>1047</v>
      </c>
      <c r="E559" s="378" t="n">
        <f aca="false">+VLOOKUP($D559,PREUS!$B$1:$F$589,3,FALSE())</f>
        <v>30.76</v>
      </c>
      <c r="F559" s="378" t="str">
        <f aca="false">+VLOOKUP($D559,PREUS!$B$1:$F$589,4,FALSE())</f>
        <v>h</v>
      </c>
      <c r="G559" s="394" t="n">
        <v>11</v>
      </c>
      <c r="H559" s="419" t="n">
        <f aca="false">E559*G559</f>
        <v>338.36</v>
      </c>
    </row>
    <row r="560" customFormat="false" ht="13.8" hidden="true" customHeight="false" outlineLevel="0" collapsed="false">
      <c r="B560" s="368"/>
      <c r="C560" s="368"/>
      <c r="D560" s="416" t="s">
        <v>986</v>
      </c>
      <c r="E560" s="378" t="n">
        <f aca="false">+VLOOKUP($D560,PREUS!$B$1:$F$589,3,FALSE())</f>
        <v>25.8</v>
      </c>
      <c r="F560" s="378" t="str">
        <f aca="false">+VLOOKUP($D560,PREUS!$B$1:$F$589,4,FALSE())</f>
        <v>h</v>
      </c>
      <c r="G560" s="394" t="n">
        <v>11</v>
      </c>
      <c r="H560" s="419" t="n">
        <f aca="false">E560*G560</f>
        <v>283.8</v>
      </c>
    </row>
    <row r="561" customFormat="false" ht="13.8" hidden="true" customHeight="false" outlineLevel="0" collapsed="false">
      <c r="B561" s="368"/>
      <c r="C561" s="368"/>
      <c r="D561" s="286" t="s">
        <v>987</v>
      </c>
      <c r="E561" s="379" t="n">
        <f aca="false">SUM(H558:H560)</f>
        <v>1589.31</v>
      </c>
      <c r="F561" s="403" t="s">
        <v>988</v>
      </c>
      <c r="G561" s="422" t="n">
        <v>0.02</v>
      </c>
      <c r="H561" s="419" t="n">
        <f aca="false">E561*G561</f>
        <v>31.7862</v>
      </c>
    </row>
    <row r="562" customFormat="false" ht="13.8" hidden="false" customHeight="false" outlineLevel="0" collapsed="false">
      <c r="B562" s="368"/>
      <c r="C562" s="368"/>
      <c r="D562" s="341"/>
      <c r="E562" s="348"/>
      <c r="F562" s="348"/>
      <c r="G562" s="348"/>
      <c r="H562" s="344"/>
      <c r="I562" s="370"/>
    </row>
    <row r="563" customFormat="false" ht="13.8" hidden="false" customHeight="false" outlineLevel="0" collapsed="false">
      <c r="A563" s="329" t="s">
        <v>479</v>
      </c>
      <c r="B563" s="337"/>
      <c r="C563" s="337" t="str">
        <f aca="false">+VLOOKUP($A563,[1]BASEdades!$A$3:$AA$282,3,FALSE())</f>
        <v>ut</v>
      </c>
      <c r="D563" s="367" t="str">
        <f aca="false">+VLOOKUP($A563,[1]BASEdades!$A$3:$AA$297,2,FALSE())</f>
        <v>Banc de mig tronc petit</v>
      </c>
      <c r="E563" s="338"/>
      <c r="F563" s="338"/>
      <c r="G563" s="338"/>
      <c r="H563" s="340" t="n">
        <f aca="false">+VLOOKUP($A563,[1]BASEdades!$A$3:$AA$282,7,FALSE())</f>
        <v>227.48</v>
      </c>
      <c r="I563" s="340" t="e">
        <f aca="false">#REF!*H563</f>
        <v>#REF!</v>
      </c>
    </row>
    <row r="564" customFormat="false" ht="28.35" hidden="false" customHeight="false" outlineLevel="0" collapsed="false">
      <c r="B564" s="368"/>
      <c r="C564" s="368"/>
      <c r="D564" s="353" t="str">
        <f aca="false">+VLOOKUP($A563,[1]BASEdades!$A$3:$AA$282,4,FALSE())</f>
        <v>Subministrament i instal·lació de banc fet amb mig tronc d'acàcia</v>
      </c>
      <c r="E564" s="341"/>
      <c r="F564" s="341"/>
      <c r="G564" s="341"/>
      <c r="H564" s="344"/>
      <c r="I564" s="370"/>
    </row>
    <row r="565" customFormat="false" ht="14.9" hidden="false" customHeight="false" outlineLevel="0" collapsed="false">
      <c r="B565" s="368"/>
      <c r="C565" s="368"/>
      <c r="D565" s="341" t="str">
        <f aca="false">+VLOOKUP($A563,[1]BASEdades!$A$3:$AA$282,5,FALSE())</f>
        <v>.mides: 80x25x30 cm</v>
      </c>
      <c r="E565" s="341"/>
      <c r="F565" s="341"/>
      <c r="G565" s="341"/>
      <c r="H565" s="344"/>
      <c r="I565" s="370"/>
    </row>
    <row r="566" customFormat="false" ht="14.9" hidden="false" customHeight="false" outlineLevel="0" collapsed="false">
      <c r="B566" s="368"/>
      <c r="C566" s="368"/>
      <c r="D566" s="341" t="str">
        <f aca="false">+VLOOKUP($A563,[1]BASEdades!$A$3:$AA$282,6,FALSE())</f>
        <v>.</v>
      </c>
      <c r="E566" s="341"/>
      <c r="F566" s="341"/>
      <c r="G566" s="341"/>
      <c r="H566" s="344"/>
      <c r="I566" s="370"/>
    </row>
    <row r="567" customFormat="false" ht="13.8" hidden="true" customHeight="false" outlineLevel="0" collapsed="false">
      <c r="B567" s="368"/>
      <c r="C567" s="368"/>
      <c r="D567" s="416" t="s">
        <v>1071</v>
      </c>
      <c r="E567" s="378" t="n">
        <f aca="false">+VLOOKUP($D567,PREUS!$B$1:$F$589,3,FALSE())</f>
        <v>163.8</v>
      </c>
      <c r="F567" s="378" t="str">
        <f aca="false">+VLOOKUP($D567,PREUS!$B$1:$F$589,4,FALSE())</f>
        <v>ut</v>
      </c>
      <c r="G567" s="394" t="n">
        <v>1</v>
      </c>
      <c r="H567" s="419" t="n">
        <f aca="false">E567*G567</f>
        <v>163.8</v>
      </c>
    </row>
    <row r="568" customFormat="false" ht="13.8" hidden="true" customHeight="false" outlineLevel="0" collapsed="false">
      <c r="B568" s="368"/>
      <c r="C568" s="368"/>
      <c r="D568" s="416" t="s">
        <v>1047</v>
      </c>
      <c r="E568" s="378" t="n">
        <f aca="false">+VLOOKUP($D568,PREUS!$B$1:$F$589,3,FALSE())</f>
        <v>30.76</v>
      </c>
      <c r="F568" s="378" t="str">
        <f aca="false">+VLOOKUP($D568,PREUS!$B$1:$F$589,4,FALSE())</f>
        <v>h</v>
      </c>
      <c r="G568" s="394" t="n">
        <v>1</v>
      </c>
      <c r="H568" s="419" t="n">
        <f aca="false">E568*G568</f>
        <v>30.76</v>
      </c>
    </row>
    <row r="569" customFormat="false" ht="13.8" hidden="true" customHeight="false" outlineLevel="0" collapsed="false">
      <c r="B569" s="368"/>
      <c r="C569" s="368"/>
      <c r="D569" s="416" t="s">
        <v>986</v>
      </c>
      <c r="E569" s="378" t="n">
        <f aca="false">+VLOOKUP($D569,PREUS!$B$1:$F$589,3,FALSE())</f>
        <v>25.8</v>
      </c>
      <c r="F569" s="378" t="str">
        <f aca="false">+VLOOKUP($D569,PREUS!$B$1:$F$589,4,FALSE())</f>
        <v>h</v>
      </c>
      <c r="G569" s="394" t="n">
        <v>1</v>
      </c>
      <c r="H569" s="419" t="n">
        <f aca="false">E569*G569</f>
        <v>25.8</v>
      </c>
    </row>
    <row r="570" customFormat="false" ht="13.8" hidden="true" customHeight="false" outlineLevel="0" collapsed="false">
      <c r="B570" s="368"/>
      <c r="C570" s="368"/>
      <c r="D570" s="286" t="s">
        <v>987</v>
      </c>
      <c r="E570" s="379" t="n">
        <f aca="false">SUM(H567:H569)</f>
        <v>220.36</v>
      </c>
      <c r="F570" s="403" t="s">
        <v>988</v>
      </c>
      <c r="G570" s="422" t="n">
        <v>0.02</v>
      </c>
      <c r="H570" s="419" t="n">
        <f aca="false">E570*G570</f>
        <v>4.4072</v>
      </c>
    </row>
    <row r="571" customFormat="false" ht="13.8" hidden="false" customHeight="false" outlineLevel="0" collapsed="false">
      <c r="B571" s="368"/>
      <c r="C571" s="368"/>
      <c r="D571" s="376"/>
      <c r="E571" s="348"/>
      <c r="F571" s="348"/>
      <c r="G571" s="348"/>
      <c r="H571" s="344"/>
      <c r="I571" s="370"/>
    </row>
    <row r="572" customFormat="false" ht="13.8" hidden="false" customHeight="false" outlineLevel="0" collapsed="false">
      <c r="A572" s="329" t="s">
        <v>424</v>
      </c>
      <c r="B572" s="337"/>
      <c r="C572" s="337" t="str">
        <f aca="false">+VLOOKUP($A572,[1]BASEdades!$A$3:$AA$282,3,FALSE())</f>
        <v>ut</v>
      </c>
      <c r="D572" s="367" t="str">
        <f aca="false">+VLOOKUP($A572,[1]BASEdades!$A$3:$AA$297,2,FALSE())</f>
        <v>Pont mòbil de fusta </v>
      </c>
      <c r="E572" s="338"/>
      <c r="F572" s="338"/>
      <c r="G572" s="338"/>
      <c r="H572" s="340" t="n">
        <f aca="false">+VLOOKUP($A572,[1]BASEdades!$A$3:$AA$282,7,FALSE())</f>
        <v>876.67</v>
      </c>
      <c r="I572" s="340" t="e">
        <f aca="false">#REF!*H572</f>
        <v>#REF!</v>
      </c>
    </row>
    <row r="573" customFormat="false" ht="28.35" hidden="false" customHeight="false" outlineLevel="0" collapsed="false">
      <c r="B573" s="368"/>
      <c r="C573" s="368"/>
      <c r="D573" s="353" t="str">
        <f aca="false">+VLOOKUP($A572,[1]BASEdades!$A$3:$AA$282,4,FALSE())</f>
        <v>Subministrament i instal·lació d'estructura de fusta amb una plataforma mòbil amb baranes de fusta i cordes.</v>
      </c>
      <c r="E573" s="341"/>
      <c r="F573" s="341"/>
      <c r="G573" s="341"/>
      <c r="H573" s="344"/>
      <c r="I573" s="370"/>
    </row>
    <row r="574" customFormat="false" ht="14.9" hidden="false" customHeight="false" outlineLevel="0" collapsed="false">
      <c r="B574" s="368"/>
      <c r="C574" s="368"/>
      <c r="D574" s="341" t="str">
        <f aca="false">+VLOOKUP($A572,[1]BASEdades!$A$3:$AA$282,5,FALSE())</f>
        <v>.mides:147 x 70 x 70cm</v>
      </c>
      <c r="E574" s="341"/>
      <c r="F574" s="341"/>
      <c r="G574" s="341"/>
      <c r="H574" s="344"/>
      <c r="I574" s="370"/>
    </row>
    <row r="575" customFormat="false" ht="14.9" hidden="false" customHeight="false" outlineLevel="0" collapsed="false">
      <c r="B575" s="368"/>
      <c r="C575" s="368"/>
      <c r="D575" s="341" t="str">
        <f aca="false">+VLOOKUP($A572,[1]BASEdades!$A$3:$AA$282,6,FALSE())</f>
        <v>.</v>
      </c>
      <c r="E575" s="341"/>
      <c r="F575" s="341"/>
      <c r="G575" s="341"/>
      <c r="H575" s="344"/>
      <c r="I575" s="370"/>
    </row>
    <row r="576" customFormat="false" ht="13.8" hidden="true" customHeight="false" outlineLevel="0" collapsed="false">
      <c r="B576" s="368"/>
      <c r="C576" s="368"/>
      <c r="D576" s="416" t="s">
        <v>1072</v>
      </c>
      <c r="E576" s="378" t="n">
        <f aca="false">+VLOOKUP($D576,PREUS!$B$1:$F$589,3,FALSE())</f>
        <v>527.08</v>
      </c>
      <c r="F576" s="378" t="str">
        <f aca="false">+VLOOKUP($D576,PREUS!$B$1:$F$589,4,FALSE())</f>
        <v>ut</v>
      </c>
      <c r="G576" s="394" t="n">
        <v>1</v>
      </c>
      <c r="H576" s="419" t="n">
        <f aca="false">E576*G576</f>
        <v>527.08</v>
      </c>
    </row>
    <row r="577" customFormat="false" ht="13.8" hidden="true" customHeight="false" outlineLevel="0" collapsed="false">
      <c r="B577" s="368"/>
      <c r="C577" s="368"/>
      <c r="D577" s="416" t="s">
        <v>1047</v>
      </c>
      <c r="E577" s="378" t="n">
        <f aca="false">+VLOOKUP($D577,PREUS!$B$1:$F$589,3,FALSE())</f>
        <v>30.76</v>
      </c>
      <c r="F577" s="378" t="str">
        <f aca="false">+VLOOKUP($D577,PREUS!$B$1:$F$589,4,FALSE())</f>
        <v>h</v>
      </c>
      <c r="G577" s="394" t="n">
        <v>6</v>
      </c>
      <c r="H577" s="419" t="n">
        <f aca="false">E577*G577</f>
        <v>184.56</v>
      </c>
    </row>
    <row r="578" customFormat="false" ht="13.8" hidden="true" customHeight="false" outlineLevel="0" collapsed="false">
      <c r="B578" s="368"/>
      <c r="C578" s="368"/>
      <c r="D578" s="416" t="s">
        <v>986</v>
      </c>
      <c r="E578" s="378" t="n">
        <f aca="false">+VLOOKUP($D578,PREUS!$B$1:$F$589,3,FALSE())</f>
        <v>25.8</v>
      </c>
      <c r="F578" s="378" t="str">
        <f aca="false">+VLOOKUP($D578,PREUS!$B$1:$F$589,4,FALSE())</f>
        <v>h</v>
      </c>
      <c r="G578" s="394" t="n">
        <v>5.7</v>
      </c>
      <c r="H578" s="419" t="n">
        <f aca="false">E578*G578</f>
        <v>147.06</v>
      </c>
    </row>
    <row r="579" customFormat="false" ht="13.8" hidden="true" customHeight="false" outlineLevel="0" collapsed="false">
      <c r="B579" s="368"/>
      <c r="C579" s="368"/>
      <c r="D579" s="286" t="s">
        <v>987</v>
      </c>
      <c r="E579" s="379" t="n">
        <f aca="false">SUM(H576:H578)</f>
        <v>858.7</v>
      </c>
      <c r="F579" s="403" t="s">
        <v>988</v>
      </c>
      <c r="G579" s="422" t="n">
        <v>0.02</v>
      </c>
      <c r="H579" s="419" t="n">
        <f aca="false">E579*G579</f>
        <v>17.174</v>
      </c>
    </row>
    <row r="580" customFormat="false" ht="13.8" hidden="false" customHeight="false" outlineLevel="0" collapsed="false">
      <c r="B580" s="368"/>
      <c r="C580" s="368"/>
      <c r="D580" s="376"/>
      <c r="E580" s="348"/>
      <c r="F580" s="348"/>
      <c r="G580" s="348"/>
      <c r="H580" s="344"/>
      <c r="I580" s="370"/>
    </row>
    <row r="581" customFormat="false" ht="13.8" hidden="false" customHeight="false" outlineLevel="0" collapsed="false">
      <c r="A581" s="329" t="s">
        <v>280</v>
      </c>
      <c r="B581" s="337"/>
      <c r="C581" s="337" t="str">
        <f aca="false">+VLOOKUP($A581,[1]BASEdades!$A$3:$AA$282,3,FALSE())</f>
        <v>ut</v>
      </c>
      <c r="D581" s="367" t="str">
        <f aca="false">+VLOOKUP($A581,[1]BASEdades!$A$3:$AA$297,2,FALSE())</f>
        <v>Pedres gran format</v>
      </c>
      <c r="E581" s="338"/>
      <c r="F581" s="338"/>
      <c r="G581" s="338"/>
      <c r="H581" s="340" t="n">
        <f aca="false">+VLOOKUP($A581,[1]BASEdades!$A$3:$AA$282,7,FALSE())</f>
        <v>75</v>
      </c>
      <c r="I581" s="340" t="e">
        <f aca="false">#REF!*H581</f>
        <v>#REF!</v>
      </c>
    </row>
    <row r="582" s="277" customFormat="true" ht="68.65" hidden="false" customHeight="false" outlineLevel="0" collapsed="false">
      <c r="B582" s="368"/>
      <c r="C582" s="368"/>
      <c r="D582" s="353" t="str">
        <f aca="false">+VLOOKUP($A581,[1]BASEdades!$A$3:$AA$282,4,FALSE())</f>
        <v>Subministrament i instal·lació de pedres tipus bolo de riu de 200&gt;400kg col·locada sobre el terreny. Inclou p/p de replanteig, excavació manual del terreny, selecció, replé i compactació del terreny contigu i eliminació i neteja del material sobrant.</v>
      </c>
      <c r="E582" s="341"/>
      <c r="F582" s="341"/>
      <c r="G582" s="362"/>
      <c r="H582" s="359"/>
      <c r="I582" s="366"/>
      <c r="M582" s="0"/>
      <c r="N582" s="0"/>
    </row>
    <row r="583" s="277" customFormat="true" ht="14.9" hidden="false" customHeight="false" outlineLevel="0" collapsed="false">
      <c r="B583" s="368"/>
      <c r="C583" s="368"/>
      <c r="D583" s="341" t="str">
        <f aca="false">+VLOOKUP($A581,[1]BASEdades!$A$3:$AA$282,5,FALSE())</f>
        <v>pedres grans: 80/120cm diàmetre. </v>
      </c>
      <c r="E583" s="341"/>
      <c r="F583" s="341"/>
      <c r="G583" s="362"/>
      <c r="H583" s="359"/>
      <c r="I583" s="366"/>
      <c r="M583" s="0"/>
      <c r="N583" s="0"/>
    </row>
    <row r="584" s="277" customFormat="true" ht="14.9" hidden="false" customHeight="false" outlineLevel="0" collapsed="false">
      <c r="B584" s="368"/>
      <c r="C584" s="368"/>
      <c r="D584" s="341" t="str">
        <f aca="false">+VLOOKUP($A581,[1]BASEdades!$A$3:$AA$282,6,FALSE())</f>
        <v>.</v>
      </c>
      <c r="E584" s="341"/>
      <c r="F584" s="341"/>
      <c r="G584" s="362"/>
      <c r="H584" s="359"/>
      <c r="I584" s="366"/>
      <c r="M584" s="0"/>
      <c r="N584" s="0"/>
    </row>
    <row r="585" customFormat="false" ht="13.8" hidden="true" customHeight="false" outlineLevel="0" collapsed="false">
      <c r="B585" s="368"/>
      <c r="C585" s="368"/>
      <c r="D585" s="416" t="s">
        <v>1073</v>
      </c>
      <c r="E585" s="378" t="n">
        <f aca="false">+VLOOKUP($D585,PREUS!$B$1:$F$589,3,FALSE())</f>
        <v>49</v>
      </c>
      <c r="F585" s="378" t="str">
        <f aca="false">+VLOOKUP($D585,PREUS!$B$1:$F$589,4,FALSE())</f>
        <v>ut</v>
      </c>
      <c r="G585" s="418" t="n">
        <v>1</v>
      </c>
      <c r="H585" s="419" t="n">
        <f aca="false">E585*G585</f>
        <v>49</v>
      </c>
    </row>
    <row r="586" customFormat="false" ht="13.8" hidden="true" customHeight="false" outlineLevel="0" collapsed="false">
      <c r="B586" s="368"/>
      <c r="C586" s="368"/>
      <c r="D586" s="416" t="s">
        <v>1047</v>
      </c>
      <c r="E586" s="378" t="n">
        <f aca="false">+VLOOKUP($D586,PREUS!$B$1:$F$589,3,FALSE())</f>
        <v>30.76</v>
      </c>
      <c r="F586" s="378" t="str">
        <f aca="false">+VLOOKUP($D586,PREUS!$B$1:$F$589,4,FALSE())</f>
        <v>h</v>
      </c>
      <c r="G586" s="418" t="n">
        <v>0.2</v>
      </c>
      <c r="H586" s="419" t="n">
        <f aca="false">E586*G586</f>
        <v>6.152</v>
      </c>
    </row>
    <row r="587" customFormat="false" ht="13.8" hidden="true" customHeight="false" outlineLevel="0" collapsed="false">
      <c r="B587" s="368"/>
      <c r="C587" s="368"/>
      <c r="D587" s="416" t="s">
        <v>1056</v>
      </c>
      <c r="E587" s="378" t="n">
        <f aca="false">+VLOOKUP($D587,PREUS!$B$1:$F$589,3,FALSE())</f>
        <v>90.97</v>
      </c>
      <c r="F587" s="378" t="str">
        <f aca="false">+VLOOKUP($D587,PREUS!$B$1:$F$589,4,FALSE())</f>
        <v>h</v>
      </c>
      <c r="G587" s="418" t="n">
        <v>0.15</v>
      </c>
      <c r="H587" s="419" t="n">
        <f aca="false">E587*G587</f>
        <v>13.6455</v>
      </c>
    </row>
    <row r="588" customFormat="false" ht="13.8" hidden="true" customHeight="false" outlineLevel="0" collapsed="false">
      <c r="B588" s="368"/>
      <c r="C588" s="368"/>
      <c r="D588" s="416" t="s">
        <v>986</v>
      </c>
      <c r="E588" s="378" t="n">
        <f aca="false">+VLOOKUP($D588,PREUS!$B$1:$F$589,3,FALSE())</f>
        <v>25.8</v>
      </c>
      <c r="F588" s="378" t="str">
        <f aca="false">+VLOOKUP($D588,PREUS!$B$1:$F$589,4,FALSE())</f>
        <v>h</v>
      </c>
      <c r="G588" s="418" t="n">
        <v>0.2</v>
      </c>
      <c r="H588" s="419" t="n">
        <f aca="false">E588*G588</f>
        <v>5.16</v>
      </c>
    </row>
    <row r="589" customFormat="false" ht="13.8" hidden="true" customHeight="false" outlineLevel="0" collapsed="false">
      <c r="B589" s="368"/>
      <c r="C589" s="368"/>
      <c r="D589" s="286" t="s">
        <v>987</v>
      </c>
      <c r="E589" s="379" t="n">
        <f aca="false">SUM(H585:H588)</f>
        <v>73.9575</v>
      </c>
      <c r="F589" s="403" t="s">
        <v>988</v>
      </c>
      <c r="G589" s="422" t="n">
        <v>0.02</v>
      </c>
      <c r="H589" s="419" t="n">
        <f aca="false">E589*G589</f>
        <v>1.47915</v>
      </c>
    </row>
    <row r="590" s="277" customFormat="true" ht="13.8" hidden="false" customHeight="false" outlineLevel="0" collapsed="false">
      <c r="B590" s="361"/>
      <c r="C590" s="361"/>
      <c r="D590" s="373"/>
      <c r="E590" s="352"/>
      <c r="F590" s="352"/>
      <c r="G590" s="352"/>
      <c r="H590" s="359"/>
      <c r="I590" s="366"/>
      <c r="M590" s="0"/>
      <c r="N590" s="0"/>
    </row>
    <row r="591" customFormat="false" ht="13.8" hidden="false" customHeight="false" outlineLevel="0" collapsed="false">
      <c r="A591" s="329" t="s">
        <v>284</v>
      </c>
      <c r="B591" s="337"/>
      <c r="C591" s="337" t="str">
        <f aca="false">+VLOOKUP($A591,[1]BASEdades!$A$3:$AA$282,3,FALSE())</f>
        <v>ut</v>
      </c>
      <c r="D591" s="367" t="str">
        <f aca="false">+VLOOKUP($A591,[1]BASEdades!$A$3:$AA$297,2,FALSE())</f>
        <v>Pedres mitjanes</v>
      </c>
      <c r="E591" s="338"/>
      <c r="F591" s="338"/>
      <c r="G591" s="338"/>
      <c r="H591" s="340" t="n">
        <f aca="false">+VLOOKUP($A591,[1]BASEdades!$A$3:$AA$282,7,FALSE())</f>
        <v>34</v>
      </c>
      <c r="I591" s="340" t="e">
        <f aca="false">#REF!*H591</f>
        <v>#REF!</v>
      </c>
    </row>
    <row r="592" customFormat="false" ht="55.2" hidden="false" customHeight="false" outlineLevel="0" collapsed="false">
      <c r="B592" s="368"/>
      <c r="C592" s="368"/>
      <c r="D592" s="353" t="str">
        <f aca="false">+VLOOKUP($A591,[1]BASEdades!$A$3:$AA$282,4,FALSE())</f>
        <v>Subministrament i instal·lació de pedres tipus bolo de riu de 30&gt;40kg col·locada sobre el terreny. Inclou p/p de replanteig, excavació manual del terreny, selecció, replé i compactació del terreny contigu i eliminació i neteja del material sobrant.</v>
      </c>
      <c r="E592" s="341"/>
      <c r="F592" s="341"/>
      <c r="G592" s="341"/>
      <c r="H592" s="344"/>
      <c r="I592" s="370"/>
    </row>
    <row r="593" customFormat="false" ht="14.9" hidden="false" customHeight="false" outlineLevel="0" collapsed="false">
      <c r="B593" s="368"/>
      <c r="C593" s="368"/>
      <c r="D593" s="341" t="str">
        <f aca="false">+VLOOKUP($A591,[1]BASEdades!$A$3:$AA$282,5,FALSE())</f>
        <v>pedres mitjanes: 30cm diàmetre.</v>
      </c>
      <c r="E593" s="341"/>
      <c r="F593" s="341"/>
      <c r="G593" s="341"/>
      <c r="H593" s="344"/>
      <c r="I593" s="370"/>
    </row>
    <row r="594" customFormat="false" ht="14.9" hidden="false" customHeight="false" outlineLevel="0" collapsed="false">
      <c r="B594" s="368"/>
      <c r="C594" s="368"/>
      <c r="D594" s="341" t="str">
        <f aca="false">+VLOOKUP($A591,[1]BASEdades!$A$3:$AA$282,6,FALSE())</f>
        <v>.</v>
      </c>
      <c r="E594" s="341"/>
      <c r="F594" s="341"/>
      <c r="G594" s="341"/>
      <c r="H594" s="344"/>
      <c r="I594" s="370"/>
    </row>
    <row r="595" customFormat="false" ht="13.8" hidden="true" customHeight="false" outlineLevel="0" collapsed="false">
      <c r="B595" s="368"/>
      <c r="C595" s="368"/>
      <c r="D595" s="416" t="s">
        <v>1074</v>
      </c>
      <c r="E595" s="378" t="n">
        <f aca="false">+VLOOKUP($D595,PREUS!$B$1:$F$589,3,FALSE())</f>
        <v>20</v>
      </c>
      <c r="F595" s="378" t="str">
        <f aca="false">+VLOOKUP($D595,PREUS!$B$1:$F$589,4,FALSE())</f>
        <v>ut</v>
      </c>
      <c r="G595" s="418" t="n">
        <v>1</v>
      </c>
      <c r="H595" s="419" t="n">
        <f aca="false">E595*G595</f>
        <v>20</v>
      </c>
    </row>
    <row r="596" customFormat="false" ht="13.8" hidden="true" customHeight="false" outlineLevel="0" collapsed="false">
      <c r="B596" s="368"/>
      <c r="C596" s="368"/>
      <c r="D596" s="416" t="s">
        <v>1047</v>
      </c>
      <c r="E596" s="378" t="n">
        <f aca="false">+VLOOKUP($D596,PREUS!$B$1:$F$589,3,FALSE())</f>
        <v>30.76</v>
      </c>
      <c r="F596" s="378" t="str">
        <f aca="false">+VLOOKUP($D596,PREUS!$B$1:$F$589,4,FALSE())</f>
        <v>h</v>
      </c>
      <c r="G596" s="418" t="n">
        <v>0.24</v>
      </c>
      <c r="H596" s="419" t="n">
        <f aca="false">E596*G596</f>
        <v>7.3824</v>
      </c>
    </row>
    <row r="597" customFormat="false" ht="13.8" hidden="true" customHeight="false" outlineLevel="0" collapsed="false">
      <c r="B597" s="368"/>
      <c r="C597" s="368"/>
      <c r="D597" s="416" t="s">
        <v>986</v>
      </c>
      <c r="E597" s="378" t="n">
        <f aca="false">+VLOOKUP($D597,PREUS!$B$1:$F$589,3,FALSE())</f>
        <v>25.8</v>
      </c>
      <c r="F597" s="378" t="str">
        <f aca="false">+VLOOKUP($D597,PREUS!$B$1:$F$589,4,FALSE())</f>
        <v>h</v>
      </c>
      <c r="G597" s="418" t="n">
        <v>0.24</v>
      </c>
      <c r="H597" s="419" t="n">
        <f aca="false">E597*G597</f>
        <v>6.192</v>
      </c>
    </row>
    <row r="598" customFormat="false" ht="13.8" hidden="true" customHeight="false" outlineLevel="0" collapsed="false">
      <c r="B598" s="368"/>
      <c r="C598" s="368"/>
      <c r="D598" s="286" t="s">
        <v>987</v>
      </c>
      <c r="E598" s="379" t="n">
        <f aca="false">SUM(H595:H597)</f>
        <v>33.5744</v>
      </c>
      <c r="F598" s="403" t="s">
        <v>988</v>
      </c>
      <c r="G598" s="422" t="n">
        <v>0.02</v>
      </c>
      <c r="H598" s="419" t="n">
        <f aca="false">E598*G598</f>
        <v>0.671488</v>
      </c>
    </row>
    <row r="599" customFormat="false" ht="13.8" hidden="false" customHeight="false" outlineLevel="0" collapsed="false">
      <c r="B599" s="368"/>
      <c r="C599" s="368"/>
      <c r="D599" s="376"/>
      <c r="E599" s="348"/>
      <c r="F599" s="348"/>
      <c r="G599" s="348"/>
      <c r="H599" s="344"/>
      <c r="I599" s="370"/>
    </row>
    <row r="600" customFormat="false" ht="13.8" hidden="false" customHeight="false" outlineLevel="0" collapsed="false">
      <c r="A600" s="329" t="s">
        <v>228</v>
      </c>
      <c r="B600" s="337"/>
      <c r="C600" s="337" t="str">
        <f aca="false">+VLOOKUP($A600,[1]BASEdades!$A$3:$AA$282,3,FALSE())</f>
        <v>m2</v>
      </c>
      <c r="D600" s="367" t="str">
        <f aca="false">+VLOOKUP($A600,[1]BASEdades!$A$3:$AA$297,2,FALSE())</f>
        <v>Pedres planes per a camins</v>
      </c>
      <c r="E600" s="338"/>
      <c r="F600" s="338"/>
      <c r="G600" s="338"/>
      <c r="H600" s="340" t="n">
        <f aca="false">+VLOOKUP($A600,[1]BASEdades!$A$3:$AA$282,7,FALSE())</f>
        <v>97.5</v>
      </c>
      <c r="I600" s="340" t="e">
        <f aca="false">#REF!*H600</f>
        <v>#REF!</v>
      </c>
    </row>
    <row r="601" customFormat="false" ht="41.75" hidden="false" customHeight="false" outlineLevel="0" collapsed="false">
      <c r="B601" s="368"/>
      <c r="C601" s="368"/>
      <c r="D601" s="353" t="str">
        <f aca="false">+VLOOKUP($A600,[1]BASEdades!$A$3:$AA$282,4,FALSE())</f>
        <v>Execució de paviment amb peces irregulars d'entre 20 a 40 cm de diàmetres i d'entre 3 i 4 cm d'espessor per a formació de camins. Instal.lat damunt del terreny.    </v>
      </c>
      <c r="E601" s="341"/>
      <c r="F601" s="341"/>
      <c r="G601" s="341"/>
      <c r="H601" s="344"/>
      <c r="I601" s="370"/>
    </row>
    <row r="602" customFormat="false" ht="14.9" hidden="false" customHeight="false" outlineLevel="0" collapsed="false">
      <c r="B602" s="368"/>
      <c r="C602" s="368"/>
      <c r="D602" s="341" t="str">
        <f aca="false">+VLOOKUP($A600,[1]BASEdades!$A$3:$AA$282,5,FALSE())</f>
        <v>.mides: m2</v>
      </c>
      <c r="E602" s="341"/>
      <c r="F602" s="341"/>
      <c r="G602" s="341"/>
      <c r="H602" s="344"/>
      <c r="I602" s="370"/>
    </row>
    <row r="603" customFormat="false" ht="14.9" hidden="false" customHeight="false" outlineLevel="0" collapsed="false">
      <c r="B603" s="368"/>
      <c r="C603" s="368"/>
      <c r="D603" s="341" t="str">
        <f aca="false">+VLOOKUP($A600,[1]BASEdades!$A$3:$AA$282,6,FALSE())</f>
        <v>.</v>
      </c>
      <c r="E603" s="341"/>
      <c r="F603" s="341"/>
      <c r="G603" s="341"/>
      <c r="H603" s="344"/>
      <c r="I603" s="370"/>
    </row>
    <row r="604" customFormat="false" ht="13.8" hidden="true" customHeight="false" outlineLevel="0" collapsed="false">
      <c r="B604" s="368"/>
      <c r="C604" s="368"/>
      <c r="D604" s="416" t="s">
        <v>1075</v>
      </c>
      <c r="E604" s="378" t="n">
        <f aca="false">+VLOOKUP($D604,PREUS!$B$1:$F$589,3,FALSE())</f>
        <v>74.75</v>
      </c>
      <c r="F604" s="378" t="str">
        <f aca="false">+VLOOKUP($D604,PREUS!$B$1:$F$589,4,FALSE())</f>
        <v>m2</v>
      </c>
      <c r="G604" s="394" t="n">
        <v>1</v>
      </c>
      <c r="H604" s="419" t="n">
        <f aca="false">E604*G604</f>
        <v>74.75</v>
      </c>
    </row>
    <row r="605" customFormat="false" ht="13.8" hidden="true" customHeight="false" outlineLevel="0" collapsed="false">
      <c r="B605" s="368"/>
      <c r="C605" s="368"/>
      <c r="D605" s="416" t="s">
        <v>1047</v>
      </c>
      <c r="E605" s="378" t="n">
        <f aca="false">+VLOOKUP($D605,PREUS!$B$1:$F$589,3,FALSE())</f>
        <v>30.76</v>
      </c>
      <c r="F605" s="378" t="str">
        <f aca="false">+VLOOKUP($D605,PREUS!$B$1:$F$589,4,FALSE())</f>
        <v>h</v>
      </c>
      <c r="G605" s="394" t="n">
        <v>0.35</v>
      </c>
      <c r="H605" s="419" t="n">
        <f aca="false">E605*G605</f>
        <v>10.766</v>
      </c>
    </row>
    <row r="606" customFormat="false" ht="13.8" hidden="true" customHeight="false" outlineLevel="0" collapsed="false">
      <c r="B606" s="368"/>
      <c r="C606" s="368"/>
      <c r="D606" s="416" t="s">
        <v>986</v>
      </c>
      <c r="E606" s="378" t="n">
        <f aca="false">+VLOOKUP($D606,PREUS!$B$1:$F$589,3,FALSE())</f>
        <v>25.8</v>
      </c>
      <c r="F606" s="378" t="str">
        <f aca="false">+VLOOKUP($D606,PREUS!$B$1:$F$589,4,FALSE())</f>
        <v>h</v>
      </c>
      <c r="G606" s="394" t="n">
        <v>0.35</v>
      </c>
      <c r="H606" s="419" t="n">
        <f aca="false">E606*G606</f>
        <v>9.03</v>
      </c>
    </row>
    <row r="607" customFormat="false" ht="13.8" hidden="true" customHeight="false" outlineLevel="0" collapsed="false">
      <c r="B607" s="368"/>
      <c r="C607" s="368"/>
      <c r="D607" s="286" t="s">
        <v>987</v>
      </c>
      <c r="E607" s="379" t="n">
        <f aca="false">SUM(H604:H606)</f>
        <v>94.546</v>
      </c>
      <c r="F607" s="403" t="s">
        <v>988</v>
      </c>
      <c r="G607" s="422" t="n">
        <v>0.02</v>
      </c>
      <c r="H607" s="419" t="n">
        <f aca="false">E607*G607</f>
        <v>1.89092</v>
      </c>
    </row>
    <row r="608" customFormat="false" ht="13.8" hidden="false" customHeight="false" outlineLevel="0" collapsed="false">
      <c r="B608" s="368"/>
      <c r="C608" s="368"/>
      <c r="D608" s="376"/>
      <c r="E608" s="348"/>
      <c r="F608" s="348"/>
      <c r="G608" s="348"/>
      <c r="H608" s="344"/>
      <c r="I608" s="370"/>
    </row>
    <row r="609" customFormat="false" ht="13.8" hidden="false" customHeight="false" outlineLevel="0" collapsed="false">
      <c r="A609" s="329" t="s">
        <v>455</v>
      </c>
      <c r="B609" s="337"/>
      <c r="C609" s="337" t="str">
        <f aca="false">+VLOOKUP($A609,[1]BASEdades!$A$3:$AA$282,3,FALSE())</f>
        <v>ut</v>
      </c>
      <c r="D609" s="367" t="str">
        <f aca="false">+VLOOKUP($A609,[1]BASEdades!$A$3:$AA$297,2,FALSE())</f>
        <v>Rotllana de l'esquirol</v>
      </c>
      <c r="E609" s="338"/>
      <c r="F609" s="338"/>
      <c r="G609" s="338"/>
      <c r="H609" s="340" t="n">
        <f aca="false">+VLOOKUP($A609,[1]BASEdades!$A$3:$AA$282,7,FALSE())</f>
        <v>554</v>
      </c>
      <c r="I609" s="340" t="e">
        <f aca="false">#REF!*H609</f>
        <v>#REF!</v>
      </c>
    </row>
    <row r="610" customFormat="false" ht="82.05" hidden="false" customHeight="false" outlineLevel="0" collapsed="false">
      <c r="B610" s="368"/>
      <c r="C610" s="368"/>
      <c r="D610" s="353" t="str">
        <f aca="false">+VLOOKUP($A609,[1]BASEdades!$A$3:$AA$282,4,FALSE())</f>
        <v>Subministrament i instal·lació de troncs d'acàcia polits i amb oli d'entre 14 i 24cm de diàmetre, col·locats verticalment sobre el terreny, en forma de rotllana. Inclou p/p de replanteig, excavació manual del terreny, selecció i tall de troncs, replè i compactació del terreny contigu i eliminació i neteja del material sobrant.  Inclou mecanització.</v>
      </c>
      <c r="E610" s="341"/>
      <c r="F610" s="341"/>
      <c r="G610" s="341"/>
      <c r="H610" s="344"/>
      <c r="I610" s="370"/>
    </row>
    <row r="611" customFormat="false" ht="28.35" hidden="false" customHeight="false" outlineLevel="0" collapsed="false">
      <c r="B611" s="368"/>
      <c r="C611" s="368"/>
      <c r="D611" s="341" t="str">
        <f aca="false">+VLOOKUP($A609,[1]BASEdades!$A$3:$AA$282,5,FALSE())</f>
        <v>.mides: 240cm de diàmetre. 23 troncs mitjans i un tronc gruixut al mig</v>
      </c>
      <c r="E611" s="341"/>
      <c r="F611" s="341"/>
      <c r="G611" s="341"/>
      <c r="H611" s="344"/>
      <c r="I611" s="370"/>
    </row>
    <row r="612" customFormat="false" ht="14.9" hidden="false" customHeight="false" outlineLevel="0" collapsed="false">
      <c r="B612" s="368"/>
      <c r="C612" s="368"/>
      <c r="D612" s="341" t="str">
        <f aca="false">+VLOOKUP($A609,[1]BASEdades!$A$3:$AA$282,6,FALSE())</f>
        <v>.</v>
      </c>
      <c r="E612" s="341"/>
      <c r="F612" s="341"/>
      <c r="G612" s="341"/>
      <c r="H612" s="344"/>
      <c r="I612" s="370"/>
    </row>
    <row r="613" customFormat="false" ht="13.8" hidden="true" customHeight="false" outlineLevel="0" collapsed="false">
      <c r="B613" s="368"/>
      <c r="C613" s="368"/>
      <c r="D613" s="416" t="s">
        <v>1061</v>
      </c>
      <c r="E613" s="378" t="n">
        <f aca="false">+VLOOKUP($D613,PREUS!$B$1:$F$589,3,FALSE())</f>
        <v>36.4</v>
      </c>
      <c r="F613" s="378" t="str">
        <f aca="false">+VLOOKUP($D613,PREUS!$B$1:$F$589,4,FALSE())</f>
        <v>m</v>
      </c>
      <c r="G613" s="394" t="n">
        <v>10.26</v>
      </c>
      <c r="H613" s="419" t="n">
        <f aca="false">E613*G613</f>
        <v>373.464</v>
      </c>
    </row>
    <row r="614" customFormat="false" ht="13.8" hidden="true" customHeight="false" outlineLevel="0" collapsed="false">
      <c r="B614" s="368"/>
      <c r="C614" s="368"/>
      <c r="D614" s="286" t="s">
        <v>1046</v>
      </c>
      <c r="E614" s="378" t="n">
        <v>20</v>
      </c>
      <c r="F614" s="378" t="str">
        <f aca="false">+VLOOKUP($D614,PREUS!$B$1:$F$589,4,FALSE())</f>
        <v>kg</v>
      </c>
      <c r="G614" s="394" t="n">
        <v>0</v>
      </c>
      <c r="H614" s="419" t="n">
        <f aca="false">E614*G614</f>
        <v>0</v>
      </c>
    </row>
    <row r="615" customFormat="false" ht="13.8" hidden="true" customHeight="false" outlineLevel="0" collapsed="false">
      <c r="B615" s="368"/>
      <c r="C615" s="368"/>
      <c r="D615" s="416" t="s">
        <v>1047</v>
      </c>
      <c r="E615" s="378" t="n">
        <f aca="false">+VLOOKUP($D615,PREUS!$B$1:$F$589,3,FALSE())</f>
        <v>30.76</v>
      </c>
      <c r="F615" s="378" t="str">
        <f aca="false">+VLOOKUP($D615,PREUS!$B$1:$F$589,4,FALSE())</f>
        <v>h</v>
      </c>
      <c r="G615" s="394" t="n">
        <v>3</v>
      </c>
      <c r="H615" s="419" t="n">
        <f aca="false">E615*G615</f>
        <v>92.28</v>
      </c>
    </row>
    <row r="616" customFormat="false" ht="13.8" hidden="true" customHeight="false" outlineLevel="0" collapsed="false">
      <c r="B616" s="368"/>
      <c r="C616" s="368"/>
      <c r="D616" s="416" t="s">
        <v>986</v>
      </c>
      <c r="E616" s="378" t="n">
        <f aca="false">+VLOOKUP($D616,PREUS!$B$1:$F$589,3,FALSE())</f>
        <v>25.8</v>
      </c>
      <c r="F616" s="378" t="str">
        <f aca="false">+VLOOKUP($D616,PREUS!$B$1:$F$589,4,FALSE())</f>
        <v>h</v>
      </c>
      <c r="G616" s="394" t="n">
        <v>3</v>
      </c>
      <c r="H616" s="419" t="n">
        <f aca="false">E616*G616</f>
        <v>77.4</v>
      </c>
    </row>
    <row r="617" customFormat="false" ht="13.8" hidden="true" customHeight="false" outlineLevel="0" collapsed="false">
      <c r="B617" s="368"/>
      <c r="C617" s="368"/>
      <c r="D617" s="286" t="s">
        <v>987</v>
      </c>
      <c r="E617" s="379" t="n">
        <f aca="false">SUM(H613:H616)</f>
        <v>543.144</v>
      </c>
      <c r="F617" s="403" t="s">
        <v>988</v>
      </c>
      <c r="G617" s="422" t="n">
        <v>0.02</v>
      </c>
      <c r="H617" s="419" t="n">
        <f aca="false">E617*G617</f>
        <v>10.86288</v>
      </c>
    </row>
    <row r="618" customFormat="false" ht="13.8" hidden="false" customHeight="false" outlineLevel="0" collapsed="false">
      <c r="B618" s="368"/>
      <c r="C618" s="368"/>
      <c r="D618" s="376"/>
      <c r="E618" s="348"/>
      <c r="F618" s="348"/>
      <c r="G618" s="348"/>
      <c r="H618" s="344"/>
      <c r="I618" s="370"/>
    </row>
    <row r="619" customFormat="false" ht="13.8" hidden="false" customHeight="false" outlineLevel="0" collapsed="false">
      <c r="A619" s="329" t="s">
        <v>366</v>
      </c>
      <c r="B619" s="337"/>
      <c r="C619" s="337" t="str">
        <f aca="false">+VLOOKUP($A619,[1]BASEdades!$A$3:$AA$282,3,FALSE())</f>
        <v>ut</v>
      </c>
      <c r="D619" s="367" t="str">
        <f aca="false">+VLOOKUP($A619,[1]BASEdades!$A$3:$AA$297,2,FALSE())</f>
        <v>Bosc de troncs</v>
      </c>
      <c r="E619" s="338"/>
      <c r="F619" s="338"/>
      <c r="G619" s="338"/>
      <c r="H619" s="340" t="n">
        <f aca="false">+VLOOKUP($A619,[1]BASEdades!$A$3:$AA$282,7,FALSE())</f>
        <v>540</v>
      </c>
      <c r="I619" s="340" t="e">
        <f aca="false">#REF!*H619</f>
        <v>#REF!</v>
      </c>
    </row>
    <row r="620" customFormat="false" ht="41.75" hidden="false" customHeight="false" outlineLevel="0" collapsed="false">
      <c r="B620" s="368"/>
      <c r="C620" s="368"/>
      <c r="D620" s="353" t="str">
        <f aca="false">+VLOOKUP($A619,[1]BASEdades!$A$3:$AA$282,4,FALSE())</f>
        <v>Subministrament i instal·lació d'estructura formada per 25 troncs d'entre 16 i 24 cm de diàmetre, tallats a diverses alçades que, ajuntats, formen una elevació d'entre uns 20 i 50 cm.</v>
      </c>
      <c r="E620" s="341"/>
      <c r="F620" s="341"/>
      <c r="G620" s="341"/>
      <c r="H620" s="344"/>
      <c r="I620" s="370"/>
    </row>
    <row r="621" customFormat="false" ht="14.9" hidden="false" customHeight="false" outlineLevel="0" collapsed="false">
      <c r="B621" s="368"/>
      <c r="C621" s="368"/>
      <c r="D621" s="341" t="str">
        <f aca="false">+VLOOKUP($A619,[1]BASEdades!$A$3:$AA$282,5,FALSE())</f>
        <v>.mides: 100x80x50cm</v>
      </c>
      <c r="E621" s="341"/>
      <c r="F621" s="341"/>
      <c r="G621" s="341"/>
      <c r="H621" s="344"/>
      <c r="I621" s="370"/>
    </row>
    <row r="622" customFormat="false" ht="14.9" hidden="false" customHeight="false" outlineLevel="0" collapsed="false">
      <c r="B622" s="368"/>
      <c r="C622" s="368"/>
      <c r="D622" s="341" t="str">
        <f aca="false">+VLOOKUP($A619,[1]BASEdades!$A$3:$AA$282,6,FALSE())</f>
        <v>.</v>
      </c>
      <c r="E622" s="341"/>
      <c r="F622" s="341"/>
      <c r="G622" s="341"/>
      <c r="H622" s="344"/>
      <c r="I622" s="370"/>
    </row>
    <row r="623" customFormat="false" ht="13.8" hidden="true" customHeight="false" outlineLevel="0" collapsed="false">
      <c r="B623" s="368"/>
      <c r="C623" s="368"/>
      <c r="D623" s="416" t="s">
        <v>1061</v>
      </c>
      <c r="E623" s="378" t="n">
        <f aca="false">+VLOOKUP($D623,PREUS!$B$1:$F$589,3,FALSE())</f>
        <v>36.4</v>
      </c>
      <c r="F623" s="378" t="str">
        <f aca="false">+VLOOKUP($D623,PREUS!$B$1:$F$589,4,FALSE())</f>
        <v>m</v>
      </c>
      <c r="G623" s="418" t="n">
        <v>9.8828</v>
      </c>
      <c r="H623" s="419" t="n">
        <f aca="false">E623*G623</f>
        <v>359.73392</v>
      </c>
    </row>
    <row r="624" customFormat="false" ht="13.8" hidden="true" customHeight="false" outlineLevel="0" collapsed="false">
      <c r="B624" s="368"/>
      <c r="C624" s="368"/>
      <c r="D624" s="286" t="s">
        <v>1046</v>
      </c>
      <c r="E624" s="378" t="n">
        <v>20</v>
      </c>
      <c r="F624" s="378" t="str">
        <f aca="false">+VLOOKUP($D624,PREUS!$B$1:$F$589,4,FALSE())</f>
        <v>kg</v>
      </c>
      <c r="G624" s="394" t="n">
        <v>0</v>
      </c>
      <c r="H624" s="419" t="n">
        <f aca="false">E624*G624</f>
        <v>0</v>
      </c>
    </row>
    <row r="625" customFormat="false" ht="13.8" hidden="true" customHeight="false" outlineLevel="0" collapsed="false">
      <c r="B625" s="368"/>
      <c r="C625" s="368"/>
      <c r="D625" s="416" t="s">
        <v>1047</v>
      </c>
      <c r="E625" s="378" t="n">
        <f aca="false">+VLOOKUP($D625,PREUS!$B$1:$F$589,3,FALSE())</f>
        <v>30.76</v>
      </c>
      <c r="F625" s="378" t="str">
        <f aca="false">+VLOOKUP($D625,PREUS!$B$1:$F$589,4,FALSE())</f>
        <v>h</v>
      </c>
      <c r="G625" s="394" t="n">
        <v>3</v>
      </c>
      <c r="H625" s="419" t="n">
        <f aca="false">E625*G625</f>
        <v>92.28</v>
      </c>
    </row>
    <row r="626" customFormat="false" ht="13.8" hidden="true" customHeight="false" outlineLevel="0" collapsed="false">
      <c r="B626" s="368"/>
      <c r="C626" s="368"/>
      <c r="D626" s="416" t="s">
        <v>986</v>
      </c>
      <c r="E626" s="378" t="n">
        <f aca="false">+VLOOKUP($D626,PREUS!$B$1:$F$589,3,FALSE())</f>
        <v>25.8</v>
      </c>
      <c r="F626" s="378" t="str">
        <f aca="false">+VLOOKUP($D626,PREUS!$B$1:$F$589,4,FALSE())</f>
        <v>h</v>
      </c>
      <c r="G626" s="394" t="n">
        <v>3</v>
      </c>
      <c r="H626" s="419" t="n">
        <f aca="false">E626*G626</f>
        <v>77.4</v>
      </c>
    </row>
    <row r="627" customFormat="false" ht="13.8" hidden="true" customHeight="false" outlineLevel="0" collapsed="false">
      <c r="B627" s="368"/>
      <c r="C627" s="368"/>
      <c r="D627" s="286" t="s">
        <v>987</v>
      </c>
      <c r="E627" s="379" t="n">
        <f aca="false">SUM(H623:H626)</f>
        <v>529.41392</v>
      </c>
      <c r="F627" s="403" t="s">
        <v>988</v>
      </c>
      <c r="G627" s="422" t="n">
        <v>0.02</v>
      </c>
      <c r="H627" s="419" t="n">
        <f aca="false">E627*G627</f>
        <v>10.5882784</v>
      </c>
    </row>
    <row r="628" customFormat="false" ht="13.8" hidden="false" customHeight="false" outlineLevel="0" collapsed="false">
      <c r="B628" s="368"/>
      <c r="C628" s="368"/>
      <c r="D628" s="376"/>
      <c r="E628" s="348"/>
      <c r="F628" s="348"/>
      <c r="G628" s="348"/>
      <c r="H628" s="344"/>
      <c r="I628" s="370"/>
    </row>
    <row r="629" customFormat="false" ht="13.8" hidden="false" customHeight="false" outlineLevel="0" collapsed="false">
      <c r="A629" s="329" t="s">
        <v>517</v>
      </c>
      <c r="B629" s="337"/>
      <c r="C629" s="337" t="str">
        <f aca="false">+VLOOKUP($A629,[1]BASEdades!$A$3:$AA$282,3,FALSE())</f>
        <v>ut</v>
      </c>
      <c r="D629" s="367" t="str">
        <f aca="false">+VLOOKUP($A629,[1]BASEdades!$A$3:$AA$297,2,FALSE())</f>
        <v>Túnel vegetal amb barres metàl.liques</v>
      </c>
      <c r="E629" s="338"/>
      <c r="F629" s="338"/>
      <c r="G629" s="338"/>
      <c r="H629" s="340" t="n">
        <f aca="false">+VLOOKUP($A629,[1]BASEdades!$A$3:$AA$282,7,FALSE())</f>
        <v>1140</v>
      </c>
      <c r="I629" s="340" t="e">
        <f aca="false">#REF!*H629</f>
        <v>#REF!</v>
      </c>
    </row>
    <row r="630" customFormat="false" ht="31.5" hidden="false" customHeight="true" outlineLevel="0" collapsed="false">
      <c r="B630" s="368"/>
      <c r="C630" s="368"/>
      <c r="D630" s="353" t="str">
        <f aca="false">+VLOOKUP($A629,[1]BASEdades!$A$3:$AA$282,4,FALSE())</f>
        <v>Subministrament i instal·lació de túnel fet amb barres metàl.liques plegades, ancorades a travessa de fusta</v>
      </c>
      <c r="E630" s="341"/>
      <c r="F630" s="341"/>
      <c r="G630" s="341"/>
      <c r="H630" s="344"/>
      <c r="I630" s="370"/>
    </row>
    <row r="631" customFormat="false" ht="14.9" hidden="false" customHeight="false" outlineLevel="0" collapsed="false">
      <c r="B631" s="368"/>
      <c r="C631" s="368"/>
      <c r="D631" s="341" t="str">
        <f aca="false">+VLOOKUP($A629,[1]BASEdades!$A$3:$AA$282,5,FALSE())</f>
        <v>.mides: 1x180x115cm</v>
      </c>
      <c r="E631" s="341"/>
      <c r="F631" s="341"/>
      <c r="G631" s="341"/>
      <c r="H631" s="344"/>
      <c r="I631" s="370"/>
    </row>
    <row r="632" customFormat="false" ht="14.9" hidden="false" customHeight="false" outlineLevel="0" collapsed="false">
      <c r="B632" s="368"/>
      <c r="C632" s="368"/>
      <c r="D632" s="341" t="str">
        <f aca="false">+VLOOKUP($A629,[1]BASEdades!$A$3:$AA$282,6,FALSE())</f>
        <v>.</v>
      </c>
      <c r="E632" s="341"/>
      <c r="F632" s="341"/>
      <c r="G632" s="341"/>
      <c r="H632" s="344"/>
      <c r="I632" s="370"/>
    </row>
    <row r="633" customFormat="false" ht="13.8" hidden="true" customHeight="false" outlineLevel="0" collapsed="false">
      <c r="B633" s="368"/>
      <c r="C633" s="368"/>
      <c r="D633" s="416" t="s">
        <v>997</v>
      </c>
      <c r="E633" s="378" t="n">
        <f aca="false">+VLOOKUP($D633,PREUS!$B$1:$F$589,3,FALSE())</f>
        <v>1.6</v>
      </c>
      <c r="F633" s="378" t="str">
        <f aca="false">+VLOOKUP($D633,PREUS!$B$1:$F$589,4,FALSE())</f>
        <v>kg</v>
      </c>
      <c r="G633" s="418" t="n">
        <v>19.455</v>
      </c>
      <c r="H633" s="419" t="n">
        <f aca="false">E633*G633</f>
        <v>31.128</v>
      </c>
    </row>
    <row r="634" customFormat="false" ht="13.8" hidden="true" customHeight="false" outlineLevel="0" collapsed="false">
      <c r="B634" s="368"/>
      <c r="C634" s="368"/>
      <c r="D634" s="416" t="s">
        <v>240</v>
      </c>
      <c r="E634" s="378" t="n">
        <f aca="false">+VLOOKUP($D634,PREUS!$B$1:$F$589,3,FALSE())</f>
        <v>12.88</v>
      </c>
      <c r="F634" s="378" t="str">
        <f aca="false">+VLOOKUP($D634,PREUS!$B$1:$F$589,4,FALSE())</f>
        <v>m</v>
      </c>
      <c r="G634" s="394" t="n">
        <v>28</v>
      </c>
      <c r="H634" s="419" t="n">
        <f aca="false">E634*G634</f>
        <v>360.64</v>
      </c>
    </row>
    <row r="635" customFormat="false" ht="13.8" hidden="true" customHeight="false" outlineLevel="0" collapsed="false">
      <c r="B635" s="368"/>
      <c r="C635" s="368"/>
      <c r="D635" s="416" t="s">
        <v>1001</v>
      </c>
      <c r="E635" s="378" t="n">
        <f aca="false">+VLOOKUP($D635,PREUS!$B$1:$F$589,3,FALSE())</f>
        <v>3.42</v>
      </c>
      <c r="F635" s="378" t="str">
        <f aca="false">+VLOOKUP($D635,PREUS!$B$1:$F$589,4,FALSE())</f>
        <v>h</v>
      </c>
      <c r="G635" s="394" t="n">
        <v>12</v>
      </c>
      <c r="H635" s="419" t="n">
        <f aca="false">E635*G635</f>
        <v>41.04</v>
      </c>
    </row>
    <row r="636" customFormat="false" ht="13.8" hidden="true" customHeight="false" outlineLevel="0" collapsed="false">
      <c r="B636" s="368"/>
      <c r="C636" s="368"/>
      <c r="D636" s="286" t="s">
        <v>1035</v>
      </c>
      <c r="E636" s="378" t="n">
        <f aca="false">+VLOOKUP($D636,PREUS!$B$1:$F$589,3,FALSE())</f>
        <v>31.27</v>
      </c>
      <c r="F636" s="378" t="str">
        <f aca="false">+VLOOKUP($D636,PREUS!$B$1:$F$589,4,FALSE())</f>
        <v>h</v>
      </c>
      <c r="G636" s="394" t="n">
        <v>12</v>
      </c>
      <c r="H636" s="419" t="n">
        <f aca="false">E636*G636</f>
        <v>375.24</v>
      </c>
    </row>
    <row r="637" customFormat="false" ht="13.8" hidden="true" customHeight="false" outlineLevel="0" collapsed="false">
      <c r="B637" s="368"/>
      <c r="C637" s="368"/>
      <c r="D637" s="416" t="s">
        <v>986</v>
      </c>
      <c r="E637" s="378" t="n">
        <f aca="false">+VLOOKUP($D637,PREUS!$B$1:$F$589,3,FALSE())</f>
        <v>25.8</v>
      </c>
      <c r="F637" s="378" t="str">
        <f aca="false">+VLOOKUP($D637,PREUS!$B$1:$F$589,4,FALSE())</f>
        <v>h</v>
      </c>
      <c r="G637" s="394" t="n">
        <v>12</v>
      </c>
      <c r="H637" s="419" t="n">
        <f aca="false">E637*G637</f>
        <v>309.6</v>
      </c>
    </row>
    <row r="638" customFormat="false" ht="13.8" hidden="true" customHeight="false" outlineLevel="0" collapsed="false">
      <c r="B638" s="368"/>
      <c r="C638" s="368"/>
      <c r="D638" s="286" t="s">
        <v>987</v>
      </c>
      <c r="E638" s="379" t="n">
        <f aca="false">SUM(H633:H637)</f>
        <v>1117.648</v>
      </c>
      <c r="F638" s="403" t="s">
        <v>988</v>
      </c>
      <c r="G638" s="422" t="n">
        <v>0.02</v>
      </c>
      <c r="H638" s="419" t="n">
        <f aca="false">E638*G638</f>
        <v>22.35296</v>
      </c>
    </row>
    <row r="639" s="277" customFormat="true" ht="13.8" hidden="false" customHeight="false" outlineLevel="0" collapsed="false">
      <c r="B639" s="361"/>
      <c r="C639" s="361"/>
      <c r="D639" s="351"/>
      <c r="E639" s="352"/>
      <c r="F639" s="352"/>
      <c r="G639" s="352"/>
      <c r="H639" s="359"/>
      <c r="I639" s="366"/>
      <c r="M639" s="0"/>
      <c r="N639" s="0"/>
    </row>
    <row r="640" customFormat="false" ht="13.8" hidden="false" customHeight="false" outlineLevel="0" collapsed="false">
      <c r="A640" s="377" t="s">
        <v>197</v>
      </c>
      <c r="B640" s="337"/>
      <c r="C640" s="337" t="str">
        <f aca="false">+VLOOKUP($A640,[1]BASEdades!$A$3:$AA$282,3,FALSE())</f>
        <v>m3</v>
      </c>
      <c r="D640" s="338" t="str">
        <f aca="false">+VLOOKUP($A640,[1]BASEdades!$A$3:$AA$282,2,FALSE())</f>
        <v>Terra vegetal  (per jardineres i parterre)</v>
      </c>
      <c r="E640" s="338"/>
      <c r="F640" s="338"/>
      <c r="G640" s="338"/>
      <c r="H640" s="340" t="n">
        <f aca="false">+VLOOKUP($A640,[1]BASEdades!$A$3:$AA$282,7,FALSE())</f>
        <v>105.333333333333</v>
      </c>
      <c r="I640" s="340" t="e">
        <f aca="false">#REF!*H640</f>
        <v>#REF!</v>
      </c>
    </row>
    <row r="641" customFormat="false" ht="41.75" hidden="false" customHeight="false" outlineLevel="0" collapsed="false">
      <c r="A641" s="377"/>
      <c r="B641" s="323"/>
      <c r="C641" s="368"/>
      <c r="D641" s="341" t="str">
        <f aca="false">+VLOOKUP($A640,[1]BASEdades!$A$3:$AA$282,4,FALSE())</f>
        <v>Aportació i estesa de terra vegetal de jardineria de categoria alta,  amb una conductivitat elèctrica menor de 0,8 dS/m, segons NTJ 07A, subministrada en big bag i estesa amb mitjans manuals.</v>
      </c>
      <c r="E641" s="342"/>
      <c r="F641" s="342"/>
      <c r="G641" s="342"/>
      <c r="H641" s="344"/>
      <c r="I641" s="345"/>
    </row>
    <row r="642" customFormat="false" ht="13.8" hidden="false" customHeight="false" outlineLevel="0" collapsed="false">
      <c r="A642" s="377"/>
      <c r="B642" s="323"/>
      <c r="C642" s="323"/>
      <c r="D642" s="347" t="s">
        <v>13</v>
      </c>
      <c r="E642" s="347"/>
      <c r="F642" s="347"/>
      <c r="G642" s="347"/>
      <c r="H642" s="349"/>
    </row>
    <row r="643" customFormat="false" ht="13.8" hidden="false" customHeight="false" outlineLevel="0" collapsed="false">
      <c r="A643" s="377"/>
      <c r="D643" s="286"/>
    </row>
    <row r="644" s="277" customFormat="true" ht="13.8" hidden="false" customHeight="false" outlineLevel="0" collapsed="false">
      <c r="A644" s="382" t="s">
        <v>746</v>
      </c>
      <c r="B644" s="337"/>
      <c r="C644" s="337" t="str">
        <f aca="false">+VLOOKUP($A644,[1]BASEdades!$A$3:$AA$282,3,FALSE())</f>
        <v>ut</v>
      </c>
      <c r="D644" s="338" t="str">
        <f aca="false">+VLOOKUP($A644,[1]BASEdades!$A$3:$AA$282,2,FALSE())</f>
        <v>Plantació d'arbres gran</v>
      </c>
      <c r="E644" s="338"/>
      <c r="F644" s="338"/>
      <c r="G644" s="338"/>
      <c r="H644" s="340" t="n">
        <f aca="false">+VLOOKUP($A644,[1]BASEdades!$A$3:$AA$282,7,FALSE())</f>
        <v>440</v>
      </c>
      <c r="I644" s="424" t="e">
        <f aca="false">#REF!*H644</f>
        <v>#REF!</v>
      </c>
      <c r="M644" s="0"/>
      <c r="N644" s="0"/>
    </row>
    <row r="645" s="277" customFormat="true" ht="108.95" hidden="false" customHeight="false" outlineLevel="0" collapsed="false">
      <c r="A645" s="382"/>
      <c r="B645" s="368"/>
      <c r="C645" s="368"/>
      <c r="D645" s="341" t="str">
        <f aca="false">+VLOOKUP($A644,[1]BASEdades!$A$3:$AA$282,4,FALSE())</f>
        <v>Subministrament i plantació d'arbre planifoli amb pa de terra o contenidor, de 18 a 20 cm de perímetre de tronc a 1,5 m d'alçària (a partir del coll de l'arrel), excavació de clot de plantació de 100x100x60 cm amb mitjans mecànics, en un pendent inferior al 25 %, reblert del clot amb terra de l'excavació barrejada amb un 10% de compost sobre llit de grava de 10cm i primer reg.  (el preu no inclou la terra vegetal ni la grava)                                                        </v>
      </c>
      <c r="E645" s="341"/>
      <c r="F645" s="341"/>
      <c r="G645" s="341"/>
      <c r="H645" s="344"/>
      <c r="I645" s="366"/>
      <c r="M645" s="0"/>
      <c r="N645" s="0"/>
    </row>
    <row r="646" s="277" customFormat="true" ht="14.9" hidden="false" customHeight="false" outlineLevel="0" collapsed="false">
      <c r="A646" s="382"/>
      <c r="B646" s="368"/>
      <c r="C646" s="368"/>
      <c r="D646" s="341" t="str">
        <f aca="false">+VLOOKUP($A644,[1]BASEdades!$A$3:$AA$282,5,FALSE())</f>
        <v>Espècies escollides segons la regió i el sól on us trobeu. </v>
      </c>
      <c r="E646" s="341"/>
      <c r="F646" s="341"/>
      <c r="G646" s="341"/>
      <c r="H646" s="344"/>
      <c r="I646" s="366"/>
      <c r="M646" s="0"/>
      <c r="N646" s="0"/>
    </row>
    <row r="647" s="277" customFormat="true" ht="14.9" hidden="false" customHeight="false" outlineLevel="0" collapsed="false">
      <c r="A647" s="382"/>
      <c r="B647" s="368"/>
      <c r="C647" s="368"/>
      <c r="D647" s="341" t="str">
        <f aca="false">+VLOOKUP($A644,[1]BASEdades!$A$3:$AA$282,6,FALSE())</f>
        <v>.</v>
      </c>
      <c r="E647" s="341"/>
      <c r="F647" s="341"/>
      <c r="G647" s="341"/>
      <c r="H647" s="344"/>
      <c r="I647" s="366"/>
      <c r="M647" s="0"/>
      <c r="N647" s="0"/>
    </row>
    <row r="648" s="277" customFormat="true" ht="13.8" hidden="true" customHeight="false" outlineLevel="0" collapsed="false">
      <c r="B648" s="368"/>
      <c r="C648" s="368"/>
      <c r="D648" s="416" t="s">
        <v>1076</v>
      </c>
      <c r="E648" s="378" t="n">
        <f aca="false">+VLOOKUP($D648,[1]PREUS!$A$1:$J$588,3,FALSE())</f>
        <v>380</v>
      </c>
      <c r="F648" s="378" t="str">
        <f aca="false">+VLOOKUP($D648,PREUS!$B$1:$F$589,4,FALSE())</f>
        <v>ut</v>
      </c>
      <c r="G648" s="394" t="n">
        <v>1</v>
      </c>
      <c r="H648" s="419" t="n">
        <f aca="false">E648*G648</f>
        <v>380</v>
      </c>
      <c r="I648" s="279"/>
      <c r="M648" s="0"/>
      <c r="N648" s="0"/>
    </row>
    <row r="649" s="277" customFormat="true" ht="13.8" hidden="true" customHeight="false" outlineLevel="0" collapsed="false">
      <c r="B649" s="368"/>
      <c r="C649" s="368"/>
      <c r="D649" s="286" t="s">
        <v>1077</v>
      </c>
      <c r="E649" s="378" t="n">
        <f aca="false">+VLOOKUP($D649,[1]PREUS!$A$1:$J$588,3,FALSE())</f>
        <v>30.76</v>
      </c>
      <c r="F649" s="378" t="str">
        <f aca="false">+VLOOKUP($D649,PREUS!$B$1:$F$589,4,FALSE())</f>
        <v>h</v>
      </c>
      <c r="G649" s="394" t="n">
        <v>0.8315</v>
      </c>
      <c r="H649" s="419" t="n">
        <f aca="false">E649*G649</f>
        <v>25.57694</v>
      </c>
      <c r="I649" s="279"/>
      <c r="M649" s="0"/>
      <c r="N649" s="0"/>
    </row>
    <row r="650" s="277" customFormat="true" ht="13.8" hidden="true" customHeight="false" outlineLevel="0" collapsed="false">
      <c r="B650" s="368"/>
      <c r="C650" s="368"/>
      <c r="D650" s="416" t="s">
        <v>986</v>
      </c>
      <c r="E650" s="378" t="n">
        <f aca="false">+VLOOKUP($D650,[1]PREUS!$A$1:$J$588,3,FALSE())</f>
        <v>25.8</v>
      </c>
      <c r="F650" s="378" t="str">
        <f aca="false">+VLOOKUP($D650,PREUS!$B$1:$F$589,4,FALSE())</f>
        <v>h</v>
      </c>
      <c r="G650" s="394" t="n">
        <v>1</v>
      </c>
      <c r="H650" s="419" t="n">
        <f aca="false">E650*G650</f>
        <v>25.8</v>
      </c>
      <c r="I650" s="279"/>
      <c r="M650" s="0"/>
      <c r="N650" s="0"/>
    </row>
    <row r="651" s="277" customFormat="true" ht="13.8" hidden="true" customHeight="false" outlineLevel="0" collapsed="false">
      <c r="B651" s="368"/>
      <c r="C651" s="368"/>
      <c r="D651" s="286" t="s">
        <v>987</v>
      </c>
      <c r="E651" s="379" t="n">
        <f aca="false">SUM(H648:H650)</f>
        <v>431.37694</v>
      </c>
      <c r="F651" s="403" t="s">
        <v>988</v>
      </c>
      <c r="G651" s="422" t="n">
        <v>0.02</v>
      </c>
      <c r="H651" s="419" t="n">
        <f aca="false">E651*G651</f>
        <v>8.6275388</v>
      </c>
      <c r="I651" s="279"/>
      <c r="M651" s="0"/>
      <c r="N651" s="0"/>
    </row>
    <row r="652" s="277" customFormat="true" ht="13.8" hidden="false" customHeight="false" outlineLevel="0" collapsed="false">
      <c r="A652" s="382"/>
      <c r="B652" s="286"/>
      <c r="C652" s="286"/>
      <c r="D652" s="378"/>
      <c r="E652" s="348"/>
      <c r="F652" s="348"/>
      <c r="G652" s="348"/>
      <c r="H652" s="304"/>
      <c r="I652" s="279"/>
      <c r="M652" s="0"/>
      <c r="N652" s="0"/>
    </row>
    <row r="653" customFormat="false" ht="13.8" hidden="false" customHeight="false" outlineLevel="0" collapsed="false">
      <c r="A653" s="286" t="s">
        <v>68</v>
      </c>
      <c r="B653" s="337"/>
      <c r="C653" s="337" t="str">
        <f aca="false">+VLOOKUP($A653,[1]BASEdades!$A$3:$AA$282,3,FALSE())</f>
        <v>m3</v>
      </c>
      <c r="D653" s="338" t="str">
        <f aca="false">+VLOOKUP($A653,[1]BASEdades!$A$3:$AA$282,2,FALSE())</f>
        <v>Rebaix de terreny</v>
      </c>
      <c r="E653" s="338"/>
      <c r="F653" s="338"/>
      <c r="G653" s="338"/>
      <c r="H653" s="340" t="n">
        <f aca="false">+VLOOKUP($A653,[1]BASEdades!$A$3:$AA$282,7,FALSE())</f>
        <v>49</v>
      </c>
      <c r="I653" s="340" t="e">
        <f aca="false">#REF!*H653</f>
        <v>#REF!</v>
      </c>
    </row>
    <row r="654" customFormat="false" ht="41.75" hidden="false" customHeight="false" outlineLevel="0" collapsed="false">
      <c r="A654" s="329"/>
      <c r="B654" s="323"/>
      <c r="C654" s="323"/>
      <c r="D654" s="341" t="str">
        <f aca="false">+VLOOKUP($A653,[1]BASEdades!$A$3:$AA$282,4,FALSE())</f>
        <v>Excavació a cel obert, en terra d'argila semidura, amb mitjans mecànics i càrrega a camió. El preu no inclou el transport dels materials excavats.</v>
      </c>
      <c r="E654" s="342"/>
      <c r="F654" s="342"/>
      <c r="G654" s="342"/>
      <c r="H654" s="344"/>
      <c r="I654" s="345"/>
    </row>
    <row r="655" customFormat="false" ht="13.8" hidden="false" customHeight="false" outlineLevel="0" collapsed="false">
      <c r="A655" s="329"/>
      <c r="B655" s="323"/>
      <c r="C655" s="323"/>
      <c r="D655" s="346" t="str">
        <f aca="false">+VLOOKUP($A653,[1]BASEdades!$A$3:$AA$282,5,FALSE())</f>
        <v>.</v>
      </c>
      <c r="E655" s="347"/>
      <c r="F655" s="347"/>
      <c r="G655" s="347"/>
      <c r="H655" s="349"/>
    </row>
    <row r="656" customFormat="false" ht="13.8" hidden="false" customHeight="false" outlineLevel="0" collapsed="false">
      <c r="A656" s="329"/>
      <c r="B656" s="368"/>
      <c r="C656" s="368"/>
      <c r="D656" s="341"/>
      <c r="E656" s="343"/>
      <c r="F656" s="343"/>
      <c r="G656" s="343"/>
      <c r="H656" s="344"/>
      <c r="I656" s="370"/>
    </row>
    <row r="657" customFormat="false" ht="13.8" hidden="false" customHeight="false" outlineLevel="0" collapsed="false">
      <c r="A657" s="377" t="s">
        <v>753</v>
      </c>
      <c r="B657" s="337"/>
      <c r="C657" s="337" t="str">
        <f aca="false">+VLOOKUP($A657,[1]BASEdades!$A$3:$AA$282,3,FALSE())</f>
        <v>ut</v>
      </c>
      <c r="D657" s="338" t="str">
        <f aca="false">+VLOOKUP($A657,[1]BASEdades!$A$3:$AA$282,2,FALSE())</f>
        <v>Plantació d'arbust de port petit</v>
      </c>
      <c r="E657" s="338"/>
      <c r="F657" s="338"/>
      <c r="G657" s="338"/>
      <c r="H657" s="340" t="n">
        <f aca="false">+VLOOKUP($A657,[1]BASEdades!$A$3:$AA$282,7,FALSE())</f>
        <v>18.4</v>
      </c>
      <c r="I657" s="340" t="e">
        <f aca="false">#REF!*H657</f>
        <v>#REF!</v>
      </c>
    </row>
    <row r="658" customFormat="false" ht="82.05" hidden="false" customHeight="false" outlineLevel="0" collapsed="false">
      <c r="A658" s="377"/>
      <c r="B658" s="368"/>
      <c r="C658" s="368"/>
      <c r="D658" s="341" t="str">
        <f aca="false">+VLOOKUP($A657,[1]BASEdades!$A$3:$AA$282,4,FALSE())</f>
        <v>Subministrament i plantació d'arbust o arbre de petit format en contenidor d'1,5 a 3 l, excavació de clot de plantació de 25x25x25 cm amb mitjans manuals, en un pendent inferior al 35 %, reblert del clot amb terra de l'excavació barrejada amb un 10% de compost sobre llit de grava de 10cm i primer reg.   (el preu no inclou la terra vegetal ni la grava)                            </v>
      </c>
      <c r="E658" s="341"/>
      <c r="F658" s="341"/>
      <c r="G658" s="341"/>
      <c r="H658" s="344"/>
      <c r="I658" s="370"/>
    </row>
    <row r="659" customFormat="false" ht="14.9" hidden="false" customHeight="false" outlineLevel="0" collapsed="false">
      <c r="A659" s="377"/>
      <c r="B659" s="368"/>
      <c r="C659" s="368"/>
      <c r="D659" s="341" t="str">
        <f aca="false">+VLOOKUP($A657,[1]BASEdades!$A$3:$AA$282,5,FALSE())</f>
        <v>Espècies escollides segons la regió i el sól on us trobeu.</v>
      </c>
      <c r="E659" s="341"/>
      <c r="F659" s="341"/>
      <c r="G659" s="341"/>
      <c r="H659" s="344"/>
      <c r="I659" s="370"/>
    </row>
    <row r="660" customFormat="false" ht="14.9" hidden="false" customHeight="false" outlineLevel="0" collapsed="false">
      <c r="A660" s="377"/>
      <c r="B660" s="368"/>
      <c r="C660" s="368"/>
      <c r="D660" s="341" t="str">
        <f aca="false">+VLOOKUP($A657,[1]BASEdades!$A$3:$AA$282,6,FALSE())</f>
        <v>.</v>
      </c>
      <c r="E660" s="341"/>
      <c r="F660" s="341"/>
      <c r="G660" s="341"/>
      <c r="H660" s="344"/>
      <c r="I660" s="370"/>
    </row>
    <row r="661" customFormat="false" ht="13.8" hidden="true" customHeight="false" outlineLevel="0" collapsed="false">
      <c r="B661" s="368"/>
      <c r="C661" s="368"/>
      <c r="D661" s="416" t="s">
        <v>1078</v>
      </c>
      <c r="E661" s="378" t="n">
        <f aca="false">+VLOOKUP($D661,[1]PREUS!$A$1:$J$588,3,FALSE())</f>
        <v>7.95</v>
      </c>
      <c r="F661" s="378" t="str">
        <f aca="false">+VLOOKUP($D661,PREUS!$B$1:$F$589,4,FALSE())</f>
        <v>ut</v>
      </c>
      <c r="G661" s="394" t="n">
        <v>1</v>
      </c>
      <c r="H661" s="419" t="n">
        <f aca="false">E661*G661</f>
        <v>7.95</v>
      </c>
    </row>
    <row r="662" customFormat="false" ht="13.8" hidden="true" customHeight="false" outlineLevel="0" collapsed="false">
      <c r="B662" s="368"/>
      <c r="C662" s="368"/>
      <c r="D662" s="286" t="s">
        <v>1077</v>
      </c>
      <c r="E662" s="378" t="n">
        <f aca="false">+VLOOKUP($D662,[1]PREUS!$A$1:$J$588,3,FALSE())</f>
        <v>30.76</v>
      </c>
      <c r="F662" s="378" t="str">
        <f aca="false">+VLOOKUP($D662,PREUS!$B$1:$F$589,4,FALSE())</f>
        <v>h</v>
      </c>
      <c r="G662" s="394" t="n">
        <v>0.15</v>
      </c>
      <c r="H662" s="419" t="n">
        <f aca="false">E662*G662</f>
        <v>4.614</v>
      </c>
    </row>
    <row r="663" customFormat="false" ht="13.8" hidden="true" customHeight="false" outlineLevel="0" collapsed="false">
      <c r="B663" s="368"/>
      <c r="C663" s="368"/>
      <c r="D663" s="416" t="s">
        <v>986</v>
      </c>
      <c r="E663" s="378" t="n">
        <f aca="false">+VLOOKUP($D663,[1]PREUS!$A$1:$J$588,3,FALSE())</f>
        <v>25.8</v>
      </c>
      <c r="F663" s="378" t="str">
        <f aca="false">+VLOOKUP($D663,PREUS!$B$1:$F$589,4,FALSE())</f>
        <v>h</v>
      </c>
      <c r="G663" s="394" t="n">
        <v>0.2124</v>
      </c>
      <c r="H663" s="419" t="n">
        <f aca="false">E663*G663</f>
        <v>5.47992</v>
      </c>
    </row>
    <row r="664" customFormat="false" ht="13.8" hidden="true" customHeight="false" outlineLevel="0" collapsed="false">
      <c r="B664" s="368"/>
      <c r="C664" s="368"/>
      <c r="D664" s="286" t="s">
        <v>987</v>
      </c>
      <c r="E664" s="379" t="n">
        <f aca="false">SUM(H661:H663)</f>
        <v>18.04392</v>
      </c>
      <c r="F664" s="403" t="s">
        <v>988</v>
      </c>
      <c r="G664" s="422" t="n">
        <v>0.02</v>
      </c>
      <c r="H664" s="419" t="n">
        <f aca="false">E664*G664</f>
        <v>0.3608784</v>
      </c>
    </row>
    <row r="665" customFormat="false" ht="13.8" hidden="true" customHeight="false" outlineLevel="0" collapsed="false">
      <c r="A665" s="329"/>
      <c r="B665" s="368"/>
      <c r="C665" s="368"/>
      <c r="D665" s="341"/>
      <c r="E665" s="343"/>
      <c r="F665" s="343"/>
      <c r="G665" s="343"/>
      <c r="H665" s="344"/>
      <c r="I665" s="370"/>
    </row>
    <row r="666" s="277" customFormat="true" ht="13.8" hidden="false" customHeight="false" outlineLevel="0" collapsed="false">
      <c r="A666" s="382"/>
      <c r="D666" s="373"/>
      <c r="E666" s="363"/>
      <c r="F666" s="363"/>
      <c r="G666" s="363"/>
      <c r="H666" s="279"/>
      <c r="I666" s="279"/>
      <c r="M666" s="0"/>
      <c r="N666" s="0"/>
    </row>
    <row r="667" s="277" customFormat="true" ht="13.8" hidden="false" customHeight="false" outlineLevel="0" collapsed="false">
      <c r="A667" s="382" t="s">
        <v>749</v>
      </c>
      <c r="B667" s="337"/>
      <c r="C667" s="337" t="str">
        <f aca="false">+VLOOKUP($A667,[1]BASEdades!$A$3:$AA$282,3,FALSE())</f>
        <v>ut</v>
      </c>
      <c r="D667" s="338" t="str">
        <f aca="false">+VLOOKUP($A667,[1]BASEdades!$A$3:$AA$282,2,FALSE())</f>
        <v>Plantació d'arbust de port mitjà</v>
      </c>
      <c r="E667" s="338"/>
      <c r="F667" s="338"/>
      <c r="G667" s="338"/>
      <c r="H667" s="340" t="n">
        <f aca="false">+VLOOKUP($A667,[1]BASEdades!$A$3:$AA$282,7,FALSE())</f>
        <v>26</v>
      </c>
      <c r="I667" s="424" t="e">
        <f aca="false">#REF!*H667</f>
        <v>#REF!</v>
      </c>
      <c r="M667" s="0"/>
      <c r="N667" s="0"/>
    </row>
    <row r="668" s="277" customFormat="true" ht="82.05" hidden="false" customHeight="false" outlineLevel="0" collapsed="false">
      <c r="A668" s="382"/>
      <c r="B668" s="368"/>
      <c r="C668" s="368"/>
      <c r="D668" s="341" t="str">
        <f aca="false">+VLOOKUP($A667,[1]BASEdades!$A$3:$AA$282,4,FALSE())</f>
        <v>Subministrament i plantació d'arbust o arbre de petit format en contenidor de 3 a 5 l, excavació de clot de plantació de 30x30x30 cm amb mitjans manuals, en un pendent inferior al 35 %, reblert del clot amb terra de l'excavació barrejada amb un 10% de compost sobre llit de grava de 10cm i primer reg.    (el preu no inclou la terra vegetal ni la grava)                           </v>
      </c>
      <c r="E668" s="341"/>
      <c r="F668" s="341"/>
      <c r="G668" s="341"/>
      <c r="H668" s="344"/>
      <c r="I668" s="366"/>
      <c r="M668" s="0"/>
      <c r="N668" s="0"/>
    </row>
    <row r="669" s="277" customFormat="true" ht="14.9" hidden="false" customHeight="false" outlineLevel="0" collapsed="false">
      <c r="A669" s="382"/>
      <c r="B669" s="368"/>
      <c r="C669" s="368"/>
      <c r="D669" s="341" t="str">
        <f aca="false">+VLOOKUP($A667,[1]BASEdades!$A$3:$AA$282,5,FALSE())</f>
        <v>Espècies escollides segons la regió i el sól on us trobeu.</v>
      </c>
      <c r="E669" s="341"/>
      <c r="F669" s="341"/>
      <c r="G669" s="341"/>
      <c r="H669" s="344"/>
      <c r="I669" s="366"/>
      <c r="M669" s="0"/>
      <c r="N669" s="0"/>
    </row>
    <row r="670" s="277" customFormat="true" ht="14.9" hidden="false" customHeight="false" outlineLevel="0" collapsed="false">
      <c r="A670" s="382"/>
      <c r="B670" s="368"/>
      <c r="C670" s="368"/>
      <c r="D670" s="341" t="str">
        <f aca="false">+VLOOKUP($A667,[1]BASEdades!$A$3:$AA$282,6,FALSE())</f>
        <v>.</v>
      </c>
      <c r="E670" s="341"/>
      <c r="F670" s="341"/>
      <c r="G670" s="341"/>
      <c r="H670" s="344"/>
      <c r="I670" s="366"/>
      <c r="M670" s="0"/>
      <c r="N670" s="0"/>
    </row>
    <row r="671" s="277" customFormat="true" ht="13.8" hidden="true" customHeight="false" outlineLevel="0" collapsed="false">
      <c r="B671" s="368"/>
      <c r="C671" s="368"/>
      <c r="D671" s="416" t="s">
        <v>1079</v>
      </c>
      <c r="E671" s="378" t="n">
        <f aca="false">+VLOOKUP($D671,[1]PREUS!$A$1:$J$588,3,FALSE())</f>
        <v>17.85</v>
      </c>
      <c r="F671" s="378" t="str">
        <f aca="false">+VLOOKUP($D671,PREUS!$B$1:$F$589,4,FALSE())</f>
        <v>ut</v>
      </c>
      <c r="G671" s="394" t="n">
        <v>1</v>
      </c>
      <c r="H671" s="419" t="n">
        <f aca="false">E671*G671</f>
        <v>17.85</v>
      </c>
      <c r="I671" s="279"/>
      <c r="M671" s="0"/>
      <c r="N671" s="0"/>
    </row>
    <row r="672" s="277" customFormat="true" ht="13.8" hidden="true" customHeight="false" outlineLevel="0" collapsed="false">
      <c r="B672" s="368"/>
      <c r="C672" s="368"/>
      <c r="D672" s="286" t="s">
        <v>1077</v>
      </c>
      <c r="E672" s="378" t="n">
        <f aca="false">+VLOOKUP($D672,[1]PREUS!$A$1:$J$588,3,FALSE())</f>
        <v>30.76</v>
      </c>
      <c r="F672" s="378" t="str">
        <f aca="false">+VLOOKUP($D672,PREUS!$B$1:$F$589,4,FALSE())</f>
        <v>h</v>
      </c>
      <c r="G672" s="394" t="n">
        <v>0.1</v>
      </c>
      <c r="H672" s="419" t="n">
        <f aca="false">E672*G672</f>
        <v>3.076</v>
      </c>
      <c r="I672" s="279"/>
      <c r="M672" s="0"/>
      <c r="N672" s="0"/>
    </row>
    <row r="673" s="277" customFormat="true" ht="13.8" hidden="true" customHeight="false" outlineLevel="0" collapsed="false">
      <c r="B673" s="368"/>
      <c r="C673" s="368"/>
      <c r="D673" s="416" t="s">
        <v>986</v>
      </c>
      <c r="E673" s="378" t="n">
        <f aca="false">+VLOOKUP($D673,[1]PREUS!$A$1:$J$588,3,FALSE())</f>
        <v>25.8</v>
      </c>
      <c r="F673" s="378" t="str">
        <f aca="false">+VLOOKUP($D673,PREUS!$B$1:$F$589,4,FALSE())</f>
        <v>h</v>
      </c>
      <c r="G673" s="394" t="n">
        <v>0.1769</v>
      </c>
      <c r="H673" s="419" t="n">
        <f aca="false">E673*G673</f>
        <v>4.56402</v>
      </c>
      <c r="I673" s="279"/>
      <c r="M673" s="0"/>
      <c r="N673" s="0"/>
    </row>
    <row r="674" s="277" customFormat="true" ht="13.8" hidden="true" customHeight="false" outlineLevel="0" collapsed="false">
      <c r="B674" s="368"/>
      <c r="C674" s="368"/>
      <c r="D674" s="286" t="s">
        <v>987</v>
      </c>
      <c r="E674" s="379" t="n">
        <f aca="false">SUM(H671:H673)</f>
        <v>25.49002</v>
      </c>
      <c r="F674" s="403" t="s">
        <v>988</v>
      </c>
      <c r="G674" s="422" t="n">
        <v>0.02</v>
      </c>
      <c r="H674" s="419" t="n">
        <f aca="false">E674*G674</f>
        <v>0.5098004</v>
      </c>
      <c r="I674" s="279"/>
      <c r="M674" s="0"/>
      <c r="N674" s="0"/>
    </row>
    <row r="675" s="277" customFormat="true" ht="13.8" hidden="true" customHeight="false" outlineLevel="0" collapsed="false">
      <c r="A675" s="354"/>
      <c r="B675" s="361"/>
      <c r="C675" s="361"/>
      <c r="D675" s="362"/>
      <c r="E675" s="363"/>
      <c r="F675" s="363"/>
      <c r="G675" s="363"/>
      <c r="H675" s="359"/>
      <c r="I675" s="366"/>
      <c r="M675" s="0"/>
      <c r="N675" s="0"/>
    </row>
    <row r="676" s="277" customFormat="true" ht="13.8" hidden="false" customHeight="false" outlineLevel="0" collapsed="false">
      <c r="A676" s="382"/>
      <c r="D676" s="373"/>
      <c r="E676" s="363"/>
      <c r="F676" s="363"/>
      <c r="G676" s="363"/>
      <c r="H676" s="279"/>
      <c r="I676" s="279"/>
      <c r="M676" s="0"/>
      <c r="N676" s="0"/>
    </row>
    <row r="677" s="277" customFormat="true" ht="13.8" hidden="false" customHeight="false" outlineLevel="0" collapsed="false">
      <c r="A677" s="382" t="s">
        <v>756</v>
      </c>
      <c r="B677" s="337"/>
      <c r="C677" s="337" t="str">
        <f aca="false">+VLOOKUP($A677,[1]BASEdades!$A$3:$AA$282,3,FALSE())</f>
        <v>ut</v>
      </c>
      <c r="D677" s="338" t="str">
        <f aca="false">+VLOOKUP($A677,[1]BASEdades!$A$3:$AA$282,2,FALSE())</f>
        <v>Plantació d'enfiladissa de port mitjà</v>
      </c>
      <c r="E677" s="338"/>
      <c r="F677" s="338"/>
      <c r="G677" s="338"/>
      <c r="H677" s="340" t="n">
        <f aca="false">+VLOOKUP($A677,[1]BASEdades!$A$3:$AA$282,7,FALSE())</f>
        <v>42</v>
      </c>
      <c r="I677" s="424" t="e">
        <f aca="false">#REF!*H677</f>
        <v>#REF!</v>
      </c>
      <c r="M677" s="0"/>
      <c r="N677" s="0"/>
    </row>
    <row r="678" s="277" customFormat="true" ht="82.05" hidden="false" customHeight="false" outlineLevel="0" collapsed="false">
      <c r="A678" s="382"/>
      <c r="B678" s="368"/>
      <c r="C678" s="368"/>
      <c r="D678" s="341" t="str">
        <f aca="false">+VLOOKUP($A677,[1]BASEdades!$A$3:$AA$282,4,FALSE())</f>
        <v>Subministrament i plantació d'enfiladissa en contenidor de 3 a 5l, excavació de clot de plantació de 25x25x25 cm amb mitjans manuals, en un pendent inferior al 35 %, reblert del clot amb terra de l'excavació barrejada amb un 10% de compost sobre llit de grava de 10cm i primer reg.        (el preu no inclou la terra vegetal ni la grava)                       </v>
      </c>
      <c r="E678" s="341"/>
      <c r="F678" s="341"/>
      <c r="G678" s="341"/>
      <c r="H678" s="344"/>
      <c r="I678" s="366"/>
      <c r="M678" s="0"/>
      <c r="N678" s="0"/>
    </row>
    <row r="679" s="277" customFormat="true" ht="14.9" hidden="false" customHeight="false" outlineLevel="0" collapsed="false">
      <c r="A679" s="382"/>
      <c r="B679" s="368"/>
      <c r="C679" s="368"/>
      <c r="D679" s="341" t="str">
        <f aca="false">+VLOOKUP($A677,[1]BASEdades!$A$3:$AA$282,5,FALSE())</f>
        <v>Espècies escollides segons la regió i el sól on us trobeu.</v>
      </c>
      <c r="E679" s="341"/>
      <c r="F679" s="341"/>
      <c r="G679" s="341"/>
      <c r="H679" s="344"/>
      <c r="I679" s="366"/>
      <c r="M679" s="0"/>
      <c r="N679" s="0"/>
    </row>
    <row r="680" s="277" customFormat="true" ht="14.9" hidden="false" customHeight="false" outlineLevel="0" collapsed="false">
      <c r="A680" s="382"/>
      <c r="B680" s="368"/>
      <c r="C680" s="368"/>
      <c r="D680" s="341" t="str">
        <f aca="false">+VLOOKUP($A677,[1]BASEdades!$A$3:$AA$282,6,FALSE())</f>
        <v>.</v>
      </c>
      <c r="E680" s="341"/>
      <c r="F680" s="341"/>
      <c r="G680" s="341"/>
      <c r="H680" s="344"/>
      <c r="I680" s="366"/>
      <c r="M680" s="0"/>
      <c r="N680" s="0"/>
    </row>
    <row r="681" s="277" customFormat="true" ht="13.8" hidden="true" customHeight="false" outlineLevel="0" collapsed="false">
      <c r="B681" s="368"/>
      <c r="C681" s="368"/>
      <c r="D681" s="416" t="s">
        <v>1080</v>
      </c>
      <c r="E681" s="378" t="n">
        <f aca="false">+VLOOKUP($D681,[1]PREUS!$A$1:$J$588,3,FALSE())</f>
        <v>29</v>
      </c>
      <c r="F681" s="378" t="str">
        <f aca="false">+VLOOKUP($D681,PREUS!$B$1:$F$589,4,FALSE())</f>
        <v>ut</v>
      </c>
      <c r="G681" s="394" t="n">
        <v>1</v>
      </c>
      <c r="H681" s="419" t="n">
        <f aca="false">E681*G681</f>
        <v>29</v>
      </c>
      <c r="I681" s="279"/>
      <c r="M681" s="0"/>
      <c r="N681" s="0"/>
    </row>
    <row r="682" s="277" customFormat="true" ht="13.8" hidden="true" customHeight="false" outlineLevel="0" collapsed="false">
      <c r="B682" s="368"/>
      <c r="C682" s="368"/>
      <c r="D682" s="286" t="s">
        <v>1077</v>
      </c>
      <c r="E682" s="378" t="n">
        <f aca="false">+VLOOKUP($D682,[1]PREUS!$A$1:$J$588,3,FALSE())</f>
        <v>30.76</v>
      </c>
      <c r="F682" s="378" t="str">
        <f aca="false">+VLOOKUP($D682,PREUS!$B$1:$F$589,4,FALSE())</f>
        <v>h</v>
      </c>
      <c r="G682" s="394" t="n">
        <v>0.215</v>
      </c>
      <c r="H682" s="419" t="n">
        <f aca="false">E682*G682</f>
        <v>6.6134</v>
      </c>
      <c r="I682" s="279"/>
      <c r="M682" s="0"/>
      <c r="N682" s="0"/>
    </row>
    <row r="683" s="277" customFormat="true" ht="13.8" hidden="true" customHeight="false" outlineLevel="0" collapsed="false">
      <c r="B683" s="368"/>
      <c r="C683" s="368"/>
      <c r="D683" s="416" t="s">
        <v>986</v>
      </c>
      <c r="E683" s="378" t="n">
        <f aca="false">+VLOOKUP($D683,[1]PREUS!$A$1:$J$588,3,FALSE())</f>
        <v>25.8</v>
      </c>
      <c r="F683" s="378" t="str">
        <f aca="false">+VLOOKUP($D683,PREUS!$B$1:$F$589,4,FALSE())</f>
        <v>h</v>
      </c>
      <c r="G683" s="394" t="n">
        <v>0.217</v>
      </c>
      <c r="H683" s="419" t="n">
        <f aca="false">E683*G683</f>
        <v>5.5986</v>
      </c>
      <c r="I683" s="279"/>
      <c r="M683" s="0"/>
      <c r="N683" s="0"/>
    </row>
    <row r="684" s="277" customFormat="true" ht="13.8" hidden="true" customHeight="false" outlineLevel="0" collapsed="false">
      <c r="B684" s="368"/>
      <c r="C684" s="368"/>
      <c r="D684" s="286" t="s">
        <v>987</v>
      </c>
      <c r="E684" s="379" t="n">
        <f aca="false">SUM(H681:H683)</f>
        <v>41.212</v>
      </c>
      <c r="F684" s="403" t="s">
        <v>988</v>
      </c>
      <c r="G684" s="422" t="n">
        <v>0.02</v>
      </c>
      <c r="H684" s="419" t="n">
        <f aca="false">E684*G684</f>
        <v>0.82424</v>
      </c>
      <c r="I684" s="279"/>
      <c r="M684" s="0"/>
      <c r="N684" s="0"/>
    </row>
    <row r="685" s="277" customFormat="true" ht="13.8" hidden="false" customHeight="false" outlineLevel="0" collapsed="false">
      <c r="A685" s="354"/>
      <c r="B685" s="361"/>
      <c r="C685" s="361"/>
      <c r="D685" s="362"/>
      <c r="E685" s="363"/>
      <c r="F685" s="363"/>
      <c r="G685" s="363"/>
      <c r="H685" s="359"/>
      <c r="I685" s="366"/>
      <c r="M685" s="0"/>
      <c r="N685" s="0"/>
    </row>
    <row r="686" s="277" customFormat="true" ht="13.8" hidden="false" customHeight="false" outlineLevel="0" collapsed="false">
      <c r="A686" s="354" t="s">
        <v>759</v>
      </c>
      <c r="B686" s="337"/>
      <c r="C686" s="337" t="s">
        <v>25</v>
      </c>
      <c r="D686" s="338" t="s">
        <v>760</v>
      </c>
      <c r="E686" s="338"/>
      <c r="F686" s="338"/>
      <c r="G686" s="338"/>
      <c r="H686" s="340" t="n">
        <f aca="false">+VLOOKUP($A686,[1]BASEdades!$A$3:$AA$282,7,FALSE())</f>
        <v>18.345</v>
      </c>
      <c r="I686" s="424" t="e">
        <f aca="false">#REF!*H686</f>
        <v>#REF!</v>
      </c>
      <c r="M686" s="0"/>
      <c r="N686" s="0"/>
    </row>
    <row r="687" s="277" customFormat="true" ht="95.5" hidden="false" customHeight="false" outlineLevel="0" collapsed="false">
      <c r="A687" s="354"/>
      <c r="B687" s="368"/>
      <c r="C687" s="368"/>
      <c r="D687" s="341" t="s">
        <v>761</v>
      </c>
      <c r="E687" s="341"/>
      <c r="F687" s="341"/>
      <c r="G687" s="341"/>
      <c r="H687" s="344"/>
      <c r="I687" s="366"/>
      <c r="M687" s="0"/>
      <c r="N687" s="0"/>
    </row>
    <row r="688" s="277" customFormat="true" ht="13.8" hidden="false" customHeight="false" outlineLevel="0" collapsed="false">
      <c r="A688" s="354"/>
      <c r="B688" s="368"/>
      <c r="C688" s="368"/>
      <c r="D688" s="341"/>
      <c r="E688" s="341"/>
      <c r="F688" s="341"/>
      <c r="G688" s="341"/>
      <c r="H688" s="344"/>
      <c r="I688" s="366"/>
      <c r="M688" s="0"/>
      <c r="N688" s="0"/>
    </row>
    <row r="689" s="277" customFormat="true" ht="13.8" hidden="false" customHeight="false" outlineLevel="0" collapsed="false">
      <c r="A689" s="354" t="s">
        <v>766</v>
      </c>
      <c r="B689" s="337"/>
      <c r="C689" s="337" t="s">
        <v>10</v>
      </c>
      <c r="D689" s="338" t="s">
        <v>767</v>
      </c>
      <c r="E689" s="338"/>
      <c r="F689" s="338"/>
      <c r="G689" s="338"/>
      <c r="H689" s="340" t="n">
        <f aca="false">+VLOOKUP($A689,[1]BASEdades!$A$3:$AA$282,7,FALSE())</f>
        <v>77.45</v>
      </c>
      <c r="I689" s="424" t="e">
        <f aca="false">#REF!*H689</f>
        <v>#REF!</v>
      </c>
      <c r="M689" s="0"/>
      <c r="N689" s="0"/>
    </row>
    <row r="690" s="277" customFormat="true" ht="28.35" hidden="false" customHeight="false" outlineLevel="0" collapsed="false">
      <c r="A690" s="354"/>
      <c r="B690" s="368"/>
      <c r="C690" s="368"/>
      <c r="D690" s="341" t="s">
        <v>768</v>
      </c>
      <c r="E690" s="341"/>
      <c r="F690" s="341"/>
      <c r="G690" s="341"/>
      <c r="H690" s="344"/>
      <c r="I690" s="366"/>
      <c r="M690" s="0"/>
      <c r="N690" s="0"/>
    </row>
    <row r="691" s="277" customFormat="true" ht="13.8" hidden="false" customHeight="false" outlineLevel="0" collapsed="false">
      <c r="H691" s="279"/>
      <c r="I691" s="279"/>
      <c r="M691" s="0"/>
      <c r="N691" s="0"/>
    </row>
    <row r="692" s="277" customFormat="true" ht="13.8" hidden="false" customHeight="false" outlineLevel="0" collapsed="false">
      <c r="A692" s="354"/>
      <c r="B692" s="355"/>
      <c r="C692" s="355"/>
      <c r="D692" s="351"/>
      <c r="E692" s="357"/>
      <c r="F692" s="357"/>
      <c r="G692" s="357"/>
      <c r="H692" s="359"/>
      <c r="I692" s="360"/>
      <c r="M692" s="0"/>
      <c r="N692" s="0"/>
    </row>
    <row r="693" s="277" customFormat="true" ht="13.8" hidden="false" customHeight="false" outlineLevel="0" collapsed="false">
      <c r="D693" s="278"/>
      <c r="H693" s="279"/>
      <c r="I693" s="279"/>
      <c r="M693" s="0"/>
      <c r="N693" s="0"/>
    </row>
    <row r="694" s="277" customFormat="true" ht="13.8" hidden="false" customHeight="false" outlineLevel="0" collapsed="false">
      <c r="D694" s="278"/>
      <c r="H694" s="279"/>
      <c r="I694" s="279"/>
      <c r="M694" s="0"/>
      <c r="N694" s="0"/>
    </row>
    <row r="695" s="277" customFormat="true" ht="13.8" hidden="false" customHeight="false" outlineLevel="0" collapsed="false">
      <c r="D695" s="278"/>
      <c r="H695" s="279"/>
      <c r="I695" s="279"/>
      <c r="M695" s="0"/>
      <c r="N695" s="0"/>
    </row>
    <row r="696" s="277" customFormat="true" ht="13.8" hidden="false" customHeight="false" outlineLevel="0" collapsed="false">
      <c r="D696" s="278"/>
      <c r="H696" s="279"/>
      <c r="I696" s="279"/>
      <c r="M696" s="0"/>
      <c r="N696" s="0"/>
    </row>
    <row r="697" s="277" customFormat="true" ht="13.8" hidden="false" customHeight="false" outlineLevel="0" collapsed="false">
      <c r="D697" s="278"/>
      <c r="H697" s="279"/>
      <c r="I697" s="279"/>
      <c r="M697" s="0"/>
      <c r="N697" s="0"/>
    </row>
    <row r="698" s="277" customFormat="true" ht="13.8" hidden="false" customHeight="false" outlineLevel="0" collapsed="false">
      <c r="D698" s="278"/>
      <c r="H698" s="279"/>
      <c r="I698" s="279"/>
      <c r="M698" s="0"/>
      <c r="N698" s="0"/>
    </row>
    <row r="699" s="277" customFormat="true" ht="13.8" hidden="false" customHeight="false" outlineLevel="0" collapsed="false">
      <c r="D699" s="278"/>
      <c r="H699" s="279"/>
      <c r="I699" s="279"/>
      <c r="M699" s="0"/>
      <c r="N699" s="0"/>
    </row>
    <row r="700" s="277" customFormat="true" ht="13.8" hidden="false" customHeight="false" outlineLevel="0" collapsed="false">
      <c r="D700" s="278"/>
      <c r="H700" s="279"/>
      <c r="I700" s="279"/>
      <c r="M700" s="0"/>
      <c r="N700" s="0"/>
    </row>
    <row r="701" s="277" customFormat="true" ht="13.8" hidden="false" customHeight="false" outlineLevel="0" collapsed="false">
      <c r="D701" s="278"/>
      <c r="H701" s="279"/>
      <c r="I701" s="279"/>
      <c r="M701" s="0"/>
      <c r="N701" s="0"/>
    </row>
    <row r="702" s="277" customFormat="true" ht="13.8" hidden="false" customHeight="false" outlineLevel="0" collapsed="false">
      <c r="D702" s="278"/>
      <c r="H702" s="279"/>
      <c r="I702" s="279"/>
      <c r="M702" s="0"/>
      <c r="N702" s="0"/>
    </row>
    <row r="703" s="277" customFormat="true" ht="13.8" hidden="false" customHeight="false" outlineLevel="0" collapsed="false">
      <c r="D703" s="278"/>
      <c r="H703" s="279"/>
      <c r="I703" s="279"/>
      <c r="M703" s="0"/>
      <c r="N703" s="0"/>
    </row>
    <row r="704" s="277" customFormat="true" ht="13.8" hidden="false" customHeight="false" outlineLevel="0" collapsed="false">
      <c r="D704" s="278"/>
      <c r="H704" s="279"/>
      <c r="I704" s="279"/>
      <c r="M704" s="0"/>
      <c r="N704" s="0"/>
    </row>
    <row r="705" s="277" customFormat="true" ht="13.8" hidden="false" customHeight="false" outlineLevel="0" collapsed="false">
      <c r="D705" s="278"/>
      <c r="H705" s="279"/>
      <c r="I705" s="279"/>
      <c r="M705" s="0"/>
      <c r="N705" s="0"/>
    </row>
    <row r="706" s="277" customFormat="true" ht="13.8" hidden="false" customHeight="false" outlineLevel="0" collapsed="false">
      <c r="D706" s="278"/>
      <c r="H706" s="279"/>
      <c r="I706" s="279"/>
      <c r="M706" s="0"/>
      <c r="N706" s="0"/>
    </row>
    <row r="707" s="277" customFormat="true" ht="13.8" hidden="false" customHeight="false" outlineLevel="0" collapsed="false">
      <c r="D707" s="278"/>
      <c r="H707" s="279"/>
      <c r="I707" s="279"/>
      <c r="M707" s="0"/>
      <c r="N707" s="0"/>
    </row>
  </sheetData>
  <printOptions headings="false" gridLines="false" gridLinesSet="true" horizontalCentered="false" verticalCentered="false"/>
  <pageMargins left="0.7" right="0.7" top="0.75" bottom="0.75" header="0.511811023622047" footer="0.3"/>
  <pageSetup paperSize="9" scale="100" fitToWidth="1" fitToHeight="0" pageOrder="overThenDown" orientation="portrait" blackAndWhite="false" draft="false" cellComments="none" horizontalDpi="300" verticalDpi="300" copies="1"/>
  <headerFooter differentFirst="false" differentOddEven="false">
    <oddHeader/>
    <oddFooter>&amp;L&amp;"Swis721 Lt BT,Clar"&amp;8VALORACIÓ ECONÒMICA - ESCOLA BRESSOL MUNICIPAL ROCAFONDA&amp;C&amp;"Swis721 Lt BT,Clar"&amp;9&amp;Kdedede  ACCÉS</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707"/>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B4" activeCellId="0" sqref="B4"/>
    </sheetView>
  </sheetViews>
  <sheetFormatPr defaultColWidth="11.42578125" defaultRowHeight="13.8" customHeight="true" zeroHeight="false" outlineLevelRow="0" outlineLevelCol="0"/>
  <cols>
    <col collapsed="false" customWidth="true" hidden="true" outlineLevel="0" max="1" min="1" style="286" width="20.57"/>
    <col collapsed="false" customWidth="true" hidden="false" outlineLevel="0" max="2" min="2" style="286" width="5.42"/>
    <col collapsed="false" customWidth="true" hidden="false" outlineLevel="0" max="3" min="3" style="286" width="5.86"/>
    <col collapsed="false" customWidth="true" hidden="false" outlineLevel="0" max="4" min="4" style="387" width="49"/>
    <col collapsed="false" customWidth="true" hidden="false" outlineLevel="0" max="7" min="5" style="286" width="7.57"/>
    <col collapsed="false" customWidth="true" hidden="false" outlineLevel="0" max="8" min="8" style="304" width="12.86"/>
    <col collapsed="false" customWidth="true" hidden="true" outlineLevel="0" max="9" min="9" style="304" width="21.57"/>
    <col collapsed="false" customWidth="true" hidden="false" outlineLevel="0" max="10" min="10" style="286" width="17.15"/>
    <col collapsed="false" customWidth="true" hidden="false" outlineLevel="0" max="11" min="11" style="286" width="35.57"/>
    <col collapsed="false" customWidth="true" hidden="false" outlineLevel="0" max="12" min="12" style="286" width="3.57"/>
    <col collapsed="false" customWidth="false" hidden="false" outlineLevel="0" max="16383" min="14" style="286" width="11.43"/>
    <col collapsed="false" customWidth="true" hidden="false" outlineLevel="0" max="16384" min="16384" style="286" width="11.53"/>
  </cols>
  <sheetData>
    <row r="1" s="287" customFormat="true" ht="13.8" hidden="false" customHeight="false" outlineLevel="0" collapsed="false">
      <c r="A1" s="280"/>
      <c r="B1" s="425" t="str">
        <f aca="false">PORTADA_PTO!A17</f>
        <v>VALORACIÓ ECONÒMICA</v>
      </c>
      <c r="C1" s="282"/>
      <c r="D1" s="283"/>
      <c r="E1" s="282"/>
      <c r="F1" s="282"/>
      <c r="G1" s="282"/>
      <c r="H1" s="284"/>
      <c r="I1" s="285"/>
      <c r="J1" s="286"/>
      <c r="K1" s="286"/>
      <c r="M1" s="0"/>
    </row>
    <row r="2" s="287" customFormat="true" ht="13.8" hidden="false" customHeight="false" outlineLevel="0" collapsed="false">
      <c r="A2" s="280"/>
      <c r="B2" s="288" t="str">
        <f aca="false">PORTADA_PTO!A18</f>
        <v>TRANSFORMACIÓ DELS ESPAIS EXTERIORS DE L’ESCOLA BRESSOL MUNICIPAL DE ROCAFONDA</v>
      </c>
      <c r="C2" s="289"/>
      <c r="D2" s="290"/>
      <c r="E2" s="289"/>
      <c r="F2" s="289"/>
      <c r="G2" s="289"/>
      <c r="H2" s="291"/>
      <c r="I2" s="292"/>
      <c r="J2" s="286"/>
      <c r="K2" s="286"/>
      <c r="M2" s="0"/>
    </row>
    <row r="3" s="287" customFormat="true" ht="13.8" hidden="false" customHeight="false" outlineLevel="0" collapsed="false">
      <c r="A3" s="280"/>
      <c r="B3" s="293" t="str">
        <f aca="false">PORTADA_PTO!E14</f>
        <v>MATARÓ</v>
      </c>
      <c r="C3" s="289"/>
      <c r="D3" s="290"/>
      <c r="E3" s="289"/>
      <c r="F3" s="289"/>
      <c r="G3" s="289"/>
      <c r="H3" s="291"/>
      <c r="I3" s="292"/>
      <c r="J3" s="286"/>
      <c r="K3" s="286"/>
      <c r="M3" s="0"/>
    </row>
    <row r="4" s="287" customFormat="true" ht="13.8" hidden="false" customHeight="false" outlineLevel="0" collapsed="false">
      <c r="A4" s="280"/>
      <c r="B4" s="294"/>
      <c r="C4" s="295"/>
      <c r="D4" s="295"/>
      <c r="E4" s="295"/>
      <c r="F4" s="295"/>
      <c r="G4" s="295"/>
      <c r="H4" s="295"/>
      <c r="J4" s="286"/>
      <c r="K4" s="286"/>
      <c r="M4" s="0"/>
    </row>
    <row r="5" s="287" customFormat="true" ht="13.8" hidden="false" customHeight="false" outlineLevel="0" collapsed="false">
      <c r="A5" s="280"/>
      <c r="B5" s="299"/>
      <c r="C5" s="300"/>
      <c r="D5" s="301"/>
      <c r="E5" s="300"/>
      <c r="F5" s="300"/>
      <c r="G5" s="300"/>
      <c r="H5" s="303"/>
      <c r="I5" s="304"/>
      <c r="J5" s="286"/>
      <c r="K5" s="286"/>
      <c r="M5" s="0"/>
    </row>
    <row r="6" s="287" customFormat="true" ht="13.8" hidden="false" customHeight="false" outlineLevel="0" collapsed="false">
      <c r="A6" s="280"/>
      <c r="B6" s="388"/>
      <c r="C6" s="389"/>
      <c r="D6" s="390"/>
      <c r="E6" s="389"/>
      <c r="F6" s="389"/>
      <c r="G6" s="389"/>
      <c r="H6" s="392"/>
      <c r="I6" s="393"/>
      <c r="M6" s="0"/>
    </row>
    <row r="7" s="287" customFormat="true" ht="17.35" hidden="false" customHeight="false" outlineLevel="0" collapsed="false">
      <c r="B7" s="305" t="s">
        <v>1081</v>
      </c>
      <c r="C7" s="305"/>
      <c r="D7" s="305"/>
      <c r="E7" s="305"/>
      <c r="F7" s="305"/>
      <c r="G7" s="305"/>
      <c r="H7" s="305"/>
      <c r="I7" s="305"/>
      <c r="J7" s="426"/>
      <c r="M7" s="0"/>
    </row>
    <row r="8" s="287" customFormat="true" ht="13.8" hidden="false" customHeight="false" outlineLevel="0" collapsed="false">
      <c r="A8" s="396"/>
      <c r="B8" s="311"/>
      <c r="C8" s="300"/>
      <c r="D8" s="301"/>
      <c r="E8" s="300"/>
      <c r="F8" s="300"/>
      <c r="G8" s="300"/>
      <c r="H8" s="303"/>
      <c r="I8" s="304"/>
      <c r="J8" s="286"/>
      <c r="K8" s="286"/>
      <c r="M8" s="0"/>
    </row>
    <row r="9" customFormat="false" ht="13.8" hidden="false" customHeight="false" outlineLevel="0" collapsed="false">
      <c r="A9" s="397" t="s">
        <v>832</v>
      </c>
      <c r="B9" s="314"/>
      <c r="C9" s="315" t="s">
        <v>834</v>
      </c>
      <c r="D9" s="316" t="s">
        <v>835</v>
      </c>
      <c r="E9" s="317"/>
      <c r="F9" s="317"/>
      <c r="G9" s="317"/>
      <c r="H9" s="319" t="s">
        <v>837</v>
      </c>
      <c r="I9" s="320" t="s">
        <v>838</v>
      </c>
      <c r="J9" s="394"/>
      <c r="K9" s="321"/>
    </row>
    <row r="10" customFormat="false" ht="13.8" hidden="false" customHeight="false" outlineLevel="0" collapsed="false">
      <c r="A10" s="397"/>
      <c r="B10" s="322"/>
      <c r="C10" s="323"/>
      <c r="D10" s="324"/>
      <c r="E10" s="325"/>
      <c r="F10" s="325"/>
      <c r="G10" s="325"/>
      <c r="H10" s="327"/>
      <c r="I10" s="328"/>
      <c r="J10" s="394"/>
      <c r="K10" s="321"/>
    </row>
    <row r="11" customFormat="false" ht="13.8" hidden="false" customHeight="false" outlineLevel="0" collapsed="false">
      <c r="A11" s="277" t="s">
        <v>168</v>
      </c>
      <c r="B11" s="337"/>
      <c r="C11" s="337" t="str">
        <f aca="false">+VLOOKUP($A11,BASEdades!$A$3:$AA$283,3,FALSE())</f>
        <v>m</v>
      </c>
      <c r="D11" s="338" t="str">
        <f aca="false">+VLOOKUP($A11,BASEdades!$A$3:$AA$283,2,FALSE())</f>
        <v>Retirada de tanca metàl·lica existent</v>
      </c>
      <c r="E11" s="338"/>
      <c r="F11" s="338"/>
      <c r="G11" s="338"/>
      <c r="H11" s="340" t="n">
        <f aca="false">+VLOOKUP($A11,BASEdades!$A$3:$AA$283,7,FALSE())</f>
        <v>20</v>
      </c>
      <c r="I11" s="340" t="e">
        <f aca="false">#REF!*H11</f>
        <v>#REF!</v>
      </c>
    </row>
    <row r="12" customFormat="false" ht="41.75" hidden="false" customHeight="false" outlineLevel="0" collapsed="false">
      <c r="A12" s="354"/>
      <c r="B12" s="323"/>
      <c r="C12" s="323"/>
      <c r="D12" s="341" t="str">
        <f aca="false">+VLOOKUP($A11,BASEdades!$A$3:$AA$283,4,FALSE())</f>
        <v>Retirada de reixat metàl·lic de fins a 2 m d'alçària, com a màxim, sense enderroc de daus de formigó, a mà i càrrega manual i mecànica de runa sobre camió o contenidor</v>
      </c>
      <c r="E12" s="342"/>
      <c r="F12" s="342"/>
      <c r="G12" s="342"/>
      <c r="H12" s="344"/>
      <c r="I12" s="345"/>
    </row>
    <row r="13" customFormat="false" ht="13.8" hidden="false" customHeight="false" outlineLevel="0" collapsed="false">
      <c r="A13" s="354"/>
      <c r="B13" s="323"/>
      <c r="C13" s="323"/>
      <c r="D13" s="346" t="str">
        <f aca="false">+VLOOKUP($A11,BASEdades!$A$3:$AA$283,5,FALSE())</f>
        <v>.Mides de la tanca: mòduls 1.5m x 1m </v>
      </c>
      <c r="E13" s="347"/>
      <c r="F13" s="347"/>
      <c r="G13" s="347"/>
      <c r="H13" s="349"/>
    </row>
    <row r="14" customFormat="false" ht="13.8" hidden="false" customHeight="false" outlineLevel="0" collapsed="false">
      <c r="A14" s="329"/>
      <c r="B14" s="323"/>
      <c r="C14" s="323"/>
      <c r="D14" s="286" t="s">
        <v>986</v>
      </c>
      <c r="E14" s="378" t="n">
        <f aca="false">+VLOOKUP($D14,PREUS!$B$1:$F$589,3,FALSE())</f>
        <v>25.8</v>
      </c>
      <c r="F14" s="378" t="str">
        <f aca="false">+VLOOKUP($D14,PREUS!$B$1:$F$589,4,FALSE())</f>
        <v>h</v>
      </c>
      <c r="G14" s="403" t="n">
        <v>0.76</v>
      </c>
      <c r="H14" s="404" t="n">
        <f aca="false">E14*G14</f>
        <v>19.608</v>
      </c>
    </row>
    <row r="15" customFormat="false" ht="13.8" hidden="false" customHeight="false" outlineLevel="0" collapsed="false">
      <c r="B15" s="323"/>
      <c r="C15" s="323"/>
      <c r="D15" s="286" t="s">
        <v>987</v>
      </c>
      <c r="E15" s="379" t="n">
        <f aca="false">H14</f>
        <v>19.608</v>
      </c>
      <c r="F15" s="403" t="s">
        <v>988</v>
      </c>
      <c r="G15" s="405" t="n">
        <v>0.02</v>
      </c>
      <c r="H15" s="404" t="n">
        <f aca="false">E15*G15</f>
        <v>0.39216</v>
      </c>
    </row>
    <row r="16" customFormat="false" ht="13.8" hidden="false" customHeight="false" outlineLevel="0" collapsed="false">
      <c r="A16" s="354"/>
      <c r="B16" s="323"/>
      <c r="C16" s="323"/>
      <c r="D16" s="350"/>
      <c r="E16" s="348"/>
      <c r="F16" s="348"/>
      <c r="G16" s="348"/>
      <c r="H16" s="349"/>
    </row>
    <row r="17" customFormat="false" ht="13.8" hidden="false" customHeight="false" outlineLevel="0" collapsed="false">
      <c r="A17" s="354"/>
      <c r="B17" s="323"/>
      <c r="C17" s="323"/>
      <c r="D17" s="350"/>
      <c r="E17" s="348"/>
      <c r="F17" s="348"/>
      <c r="G17" s="348"/>
      <c r="H17" s="349"/>
    </row>
    <row r="18" customFormat="false" ht="13.8" hidden="false" customHeight="false" outlineLevel="0" collapsed="false">
      <c r="A18" s="286" t="s">
        <v>88</v>
      </c>
      <c r="B18" s="337"/>
      <c r="C18" s="337" t="str">
        <f aca="false">+VLOOKUP($A18,BASEdades!$A$3:$AA$283,3,FALSE())</f>
        <v>h</v>
      </c>
      <c r="D18" s="338" t="str">
        <f aca="false">+VLOOKUP($A18,BASEdades!$A$3:$AA$283,2,FALSE())</f>
        <v>Ajudes de paleta</v>
      </c>
      <c r="E18" s="338"/>
      <c r="F18" s="338"/>
      <c r="G18" s="338"/>
      <c r="H18" s="340" t="n">
        <f aca="false">+VLOOKUP($A18,BASEdades!$A$3:$AA$283,7,FALSE())</f>
        <v>57.72</v>
      </c>
      <c r="I18" s="340" t="e">
        <f aca="false">#REF!*H18</f>
        <v>#REF!</v>
      </c>
    </row>
    <row r="19" customFormat="false" ht="14.9" hidden="false" customHeight="false" outlineLevel="0" collapsed="false">
      <c r="A19" s="329"/>
      <c r="B19" s="323"/>
      <c r="C19" s="323"/>
      <c r="D19" s="341" t="str">
        <f aca="false">+VLOOKUP($A18,BASEdades!$A$3:$AA$283,4,FALSE())</f>
        <v>Jornada d'ajudes de paleta. Oficial i peò.</v>
      </c>
      <c r="E19" s="342"/>
      <c r="F19" s="342"/>
      <c r="G19" s="342"/>
      <c r="H19" s="344"/>
      <c r="I19" s="345"/>
    </row>
    <row r="20" customFormat="false" ht="13.8" hidden="false" customHeight="false" outlineLevel="0" collapsed="false">
      <c r="A20" s="329"/>
      <c r="B20" s="323"/>
      <c r="C20" s="323"/>
      <c r="D20" s="346" t="str">
        <f aca="false">+VLOOKUP($A18,BASEdades!$A$3:$AA$283,5,FALSE())</f>
        <v>.</v>
      </c>
      <c r="E20" s="347"/>
      <c r="F20" s="347"/>
      <c r="G20" s="347"/>
      <c r="H20" s="349"/>
    </row>
    <row r="21" customFormat="false" ht="13.8" hidden="false" customHeight="false" outlineLevel="0" collapsed="false">
      <c r="A21" s="329"/>
      <c r="B21" s="323"/>
      <c r="C21" s="323"/>
      <c r="D21" s="286" t="s">
        <v>989</v>
      </c>
      <c r="E21" s="378" t="n">
        <f aca="false">+VLOOKUP($D21,PREUS!$B$1:$F$589,3,FALSE())</f>
        <v>30.79</v>
      </c>
      <c r="F21" s="378" t="str">
        <f aca="false">+VLOOKUP($D21,PREUS!$B$1:$F$589,4,FALSE())</f>
        <v>h</v>
      </c>
      <c r="G21" s="406" t="n">
        <v>1</v>
      </c>
      <c r="H21" s="404" t="n">
        <f aca="false">E21*G21</f>
        <v>30.79</v>
      </c>
    </row>
    <row r="22" customFormat="false" ht="13.8" hidden="false" customHeight="false" outlineLevel="0" collapsed="false">
      <c r="A22" s="329"/>
      <c r="B22" s="323"/>
      <c r="C22" s="323"/>
      <c r="D22" s="286" t="s">
        <v>986</v>
      </c>
      <c r="E22" s="378" t="n">
        <f aca="false">+VLOOKUP($D22,PREUS!$B$1:$F$589,3,FALSE())</f>
        <v>25.8</v>
      </c>
      <c r="F22" s="378" t="str">
        <f aca="false">+VLOOKUP($D22,PREUS!$B$1:$F$589,4,FALSE())</f>
        <v>h</v>
      </c>
      <c r="G22" s="406" t="n">
        <v>1</v>
      </c>
      <c r="H22" s="404" t="n">
        <f aca="false">E22*G22</f>
        <v>25.8</v>
      </c>
    </row>
    <row r="23" customFormat="false" ht="13.8" hidden="false" customHeight="false" outlineLevel="0" collapsed="false">
      <c r="B23" s="323"/>
      <c r="C23" s="323"/>
      <c r="D23" s="286" t="s">
        <v>987</v>
      </c>
      <c r="E23" s="379" t="n">
        <f aca="false">SUM(H21:H22)</f>
        <v>56.59</v>
      </c>
      <c r="F23" s="403" t="s">
        <v>988</v>
      </c>
      <c r="G23" s="405" t="n">
        <v>0.02</v>
      </c>
      <c r="H23" s="404" t="n">
        <f aca="false">E23*G23</f>
        <v>1.1318</v>
      </c>
    </row>
    <row r="24" customFormat="false" ht="13.8" hidden="false" customHeight="false" outlineLevel="0" collapsed="false">
      <c r="A24" s="329"/>
      <c r="B24" s="323"/>
      <c r="C24" s="323"/>
      <c r="D24" s="350"/>
      <c r="E24" s="348"/>
      <c r="F24" s="348"/>
      <c r="G24" s="348"/>
      <c r="H24" s="349"/>
    </row>
    <row r="25" customFormat="false" ht="13.8" hidden="false" customHeight="false" outlineLevel="0" collapsed="false">
      <c r="A25" s="286" t="s">
        <v>24</v>
      </c>
      <c r="B25" s="337"/>
      <c r="C25" s="337" t="str">
        <f aca="false">+VLOOKUP($A25,BASEdades!$A$3:$AA$283,3,FALSE())</f>
        <v>m</v>
      </c>
      <c r="D25" s="367" t="str">
        <f aca="false">+VLOOKUP($A25,BASEdades!$A$3:$AA$298,2,FALSE())</f>
        <v>Tall de paviment</v>
      </c>
      <c r="E25" s="338"/>
      <c r="F25" s="338"/>
      <c r="G25" s="338"/>
      <c r="H25" s="340" t="n">
        <f aca="false">+VLOOKUP($A25,BASEdades!$A$3:$AA$283,7,FALSE())</f>
        <v>5.7</v>
      </c>
      <c r="I25" s="340" t="e">
        <f aca="false">#REF!*H25</f>
        <v>#REF!</v>
      </c>
    </row>
    <row r="26" customFormat="false" ht="55.2" hidden="false" customHeight="false" outlineLevel="0" collapsed="false">
      <c r="A26" s="329"/>
      <c r="B26" s="368"/>
      <c r="C26" s="368"/>
      <c r="D26" s="353" t="str">
        <f aca="false">+VLOOKUP($A25,BASEdades!$A$3:$AA$283,4,FALSE())</f>
        <v>Execució de tall en paviment de qualsevol tipus, de 10cm de fondària com a mínim, amb màquina tallajunts amb disc de diamant per a paviment, per a delimitar la zona a demolir, i càrrega manual sobre camió o contenidor</v>
      </c>
      <c r="E26" s="341"/>
      <c r="F26" s="341"/>
      <c r="G26" s="341"/>
      <c r="H26" s="344"/>
      <c r="I26" s="370"/>
    </row>
    <row r="27" customFormat="false" ht="14.9" hidden="false" customHeight="false" outlineLevel="0" collapsed="false">
      <c r="A27" s="329"/>
      <c r="B27" s="368"/>
      <c r="C27" s="368"/>
      <c r="D27" s="341" t="str">
        <f aca="false">+VLOOKUP($A25,BASEdades!$A$3:$AA$283,6,FALSE())</f>
        <v>.</v>
      </c>
      <c r="E27" s="348"/>
      <c r="F27" s="348"/>
      <c r="G27" s="348"/>
      <c r="H27" s="344"/>
      <c r="I27" s="370"/>
    </row>
    <row r="28" customFormat="false" ht="13.8" hidden="false" customHeight="false" outlineLevel="0" collapsed="false">
      <c r="A28" s="329"/>
      <c r="B28" s="323"/>
      <c r="C28" s="323"/>
      <c r="D28" s="407" t="s">
        <v>990</v>
      </c>
      <c r="E28" s="378" t="n">
        <f aca="false">+VLOOKUP($D28,PREUS!$B$1:$F$589,3,FALSE())</f>
        <v>42.15</v>
      </c>
      <c r="F28" s="378" t="str">
        <f aca="false">+VLOOKUP($D28,PREUS!$B$1:$F$589,4,FALSE())</f>
        <v>h</v>
      </c>
      <c r="G28" s="348" t="n">
        <v>0.0804</v>
      </c>
      <c r="H28" s="404" t="n">
        <f aca="false">E28*G28</f>
        <v>3.38886</v>
      </c>
    </row>
    <row r="29" customFormat="false" ht="13.8" hidden="false" customHeight="false" outlineLevel="0" collapsed="false">
      <c r="A29" s="329"/>
      <c r="B29" s="323"/>
      <c r="C29" s="323"/>
      <c r="D29" s="407" t="s">
        <v>991</v>
      </c>
      <c r="E29" s="378" t="n">
        <f aca="false">+VLOOKUP($D29,PREUS!$B$1:$F$589,3,FALSE())</f>
        <v>27.39</v>
      </c>
      <c r="F29" s="378" t="str">
        <f aca="false">+VLOOKUP($D29,PREUS!$B$1:$F$589,4,FALSE())</f>
        <v>h</v>
      </c>
      <c r="G29" s="348" t="n">
        <v>0.0804</v>
      </c>
      <c r="H29" s="404" t="n">
        <f aca="false">E29*G29</f>
        <v>2.202156</v>
      </c>
    </row>
    <row r="30" customFormat="false" ht="13.8" hidden="false" customHeight="false" outlineLevel="0" collapsed="false">
      <c r="B30" s="323"/>
      <c r="C30" s="323"/>
      <c r="D30" s="286" t="s">
        <v>987</v>
      </c>
      <c r="E30" s="379" t="n">
        <f aca="false">SUM(H28:H29)</f>
        <v>5.591016</v>
      </c>
      <c r="F30" s="403" t="s">
        <v>988</v>
      </c>
      <c r="G30" s="405" t="n">
        <v>0.02</v>
      </c>
      <c r="H30" s="404" t="n">
        <f aca="false">E30*G30</f>
        <v>0.11182032</v>
      </c>
    </row>
    <row r="31" customFormat="false" ht="13.8" hidden="false" customHeight="false" outlineLevel="0" collapsed="false">
      <c r="A31" s="354"/>
      <c r="B31" s="355"/>
      <c r="C31" s="355"/>
      <c r="D31" s="351"/>
      <c r="E31" s="352"/>
      <c r="F31" s="352"/>
      <c r="G31" s="352"/>
      <c r="H31" s="358"/>
      <c r="I31" s="279"/>
    </row>
    <row r="32" customFormat="false" ht="13.8" hidden="false" customHeight="false" outlineLevel="0" collapsed="false">
      <c r="A32" s="286" t="s">
        <v>33</v>
      </c>
      <c r="B32" s="337"/>
      <c r="C32" s="337" t="str">
        <f aca="false">+VLOOKUP($A32,BASEdades!$A$3:$AA$283,3,FALSE())</f>
        <v>m2</v>
      </c>
      <c r="D32" s="367" t="str">
        <f aca="false">+VLOOKUP($A32,BASEdades!$A$3:$AA$298,2,FALSE())</f>
        <v>Demolició de solera de formigó</v>
      </c>
      <c r="E32" s="338"/>
      <c r="F32" s="338"/>
      <c r="G32" s="338"/>
      <c r="H32" s="340" t="n">
        <f aca="false">+VLOOKUP($A32,BASEdades!$A$3:$AA$283,7,FALSE())</f>
        <v>15</v>
      </c>
      <c r="I32" s="340" t="e">
        <f aca="false">#REF!*H32</f>
        <v>#REF!</v>
      </c>
    </row>
    <row r="33" customFormat="false" ht="55.2" hidden="false" customHeight="false" outlineLevel="0" collapsed="false">
      <c r="A33" s="329"/>
      <c r="B33" s="368"/>
      <c r="C33" s="368"/>
      <c r="D33" s="353" t="str">
        <f aca="false">+VLOOKUP($A32,BASEdades!$A$3:$AA$283,4,FALSE())</f>
        <v>Demolició de solera de formigó en massa de fins a 15cm, mitjançant retroexcavadora amb martell picador. El preu inclou el picat i estesa del material per ser utilitzat com a grava de drenatge.</v>
      </c>
      <c r="E33" s="341"/>
      <c r="F33" s="341"/>
      <c r="G33" s="341"/>
      <c r="H33" s="344"/>
      <c r="I33" s="370"/>
    </row>
    <row r="34" customFormat="false" ht="14.25" hidden="false" customHeight="true" outlineLevel="0" collapsed="false">
      <c r="A34" s="329"/>
      <c r="B34" s="368"/>
      <c r="C34" s="368"/>
      <c r="D34" s="341" t="str">
        <f aca="false">+VLOOKUP($A32,BASEdades!$A$3:$AA$283,6,FALSE())</f>
        <v>.</v>
      </c>
      <c r="E34" s="348"/>
      <c r="F34" s="348"/>
      <c r="G34" s="348"/>
      <c r="H34" s="344"/>
      <c r="I34" s="370"/>
    </row>
    <row r="35" customFormat="false" ht="13.8" hidden="false" customHeight="false" outlineLevel="0" collapsed="false">
      <c r="A35" s="329"/>
      <c r="B35" s="323"/>
      <c r="C35" s="323"/>
      <c r="D35" s="407" t="s">
        <v>992</v>
      </c>
      <c r="E35" s="378" t="n">
        <f aca="false">+VLOOKUP($D35,PREUS!$B$1:$F$589,3,FALSE())</f>
        <v>4.57</v>
      </c>
      <c r="F35" s="378" t="str">
        <f aca="false">+VLOOKUP($D35,PREUS!$B$1:$F$589,4,FALSE())</f>
        <v>h</v>
      </c>
      <c r="G35" s="348" t="n">
        <v>0.1</v>
      </c>
      <c r="H35" s="404" t="n">
        <f aca="false">E35*G35</f>
        <v>0.457</v>
      </c>
    </row>
    <row r="36" customFormat="false" ht="13.8" hidden="false" customHeight="false" outlineLevel="0" collapsed="false">
      <c r="A36" s="329"/>
      <c r="B36" s="323"/>
      <c r="C36" s="323"/>
      <c r="D36" s="407" t="s">
        <v>993</v>
      </c>
      <c r="E36" s="378" t="n">
        <f aca="false">+VLOOKUP($D36,PREUS!$B$1:$F$589,3,FALSE())</f>
        <v>4.27</v>
      </c>
      <c r="F36" s="378" t="str">
        <f aca="false">+VLOOKUP($D36,PREUS!$B$1:$F$589,4,FALSE())</f>
        <v>h</v>
      </c>
      <c r="G36" s="348" t="n">
        <v>0.1</v>
      </c>
      <c r="H36" s="404" t="n">
        <f aca="false">E36*G36</f>
        <v>0.427</v>
      </c>
    </row>
    <row r="37" customFormat="false" ht="13.8" hidden="false" customHeight="false" outlineLevel="0" collapsed="false">
      <c r="A37" s="329"/>
      <c r="B37" s="323"/>
      <c r="C37" s="323"/>
      <c r="D37" s="407" t="s">
        <v>994</v>
      </c>
      <c r="E37" s="378" t="n">
        <f aca="false">+VLOOKUP($D37,PREUS!$B$1:$F$589,3,FALSE())</f>
        <v>26.64</v>
      </c>
      <c r="F37" s="378" t="str">
        <f aca="false">+VLOOKUP($D37,PREUS!$B$1:$F$589,4,FALSE())</f>
        <v>h</v>
      </c>
      <c r="G37" s="348" t="n">
        <v>0.2635</v>
      </c>
      <c r="H37" s="404" t="n">
        <f aca="false">E37*G37</f>
        <v>7.01964</v>
      </c>
    </row>
    <row r="38" customFormat="false" ht="13.8" hidden="false" customHeight="false" outlineLevel="0" collapsed="false">
      <c r="A38" s="329"/>
      <c r="B38" s="323"/>
      <c r="C38" s="323"/>
      <c r="D38" s="407" t="s">
        <v>986</v>
      </c>
      <c r="E38" s="378" t="n">
        <f aca="false">+VLOOKUP($D38,PREUS!$B$1:$F$589,3,FALSE())</f>
        <v>25.8</v>
      </c>
      <c r="F38" s="378" t="str">
        <f aca="false">+VLOOKUP($D38,PREUS!$B$1:$F$589,4,FALSE())</f>
        <v>h</v>
      </c>
      <c r="G38" s="348" t="n">
        <v>0.2635</v>
      </c>
      <c r="H38" s="404" t="n">
        <f aca="false">E38*G38</f>
        <v>6.7983</v>
      </c>
    </row>
    <row r="39" customFormat="false" ht="13.8" hidden="false" customHeight="false" outlineLevel="0" collapsed="false">
      <c r="B39" s="323"/>
      <c r="C39" s="323"/>
      <c r="D39" s="286" t="s">
        <v>987</v>
      </c>
      <c r="E39" s="379" t="n">
        <f aca="false">SUM(H35:H38)</f>
        <v>14.70194</v>
      </c>
      <c r="F39" s="403" t="s">
        <v>988</v>
      </c>
      <c r="G39" s="405" t="n">
        <v>0.02</v>
      </c>
      <c r="H39" s="404" t="n">
        <f aca="false">E39*G39</f>
        <v>0.2940388</v>
      </c>
    </row>
    <row r="40" customFormat="false" ht="13.8" hidden="false" customHeight="false" outlineLevel="0" collapsed="false">
      <c r="A40" s="329"/>
      <c r="B40" s="323"/>
      <c r="C40" s="323"/>
      <c r="D40" s="350"/>
      <c r="E40" s="348"/>
      <c r="F40" s="348"/>
      <c r="G40" s="348"/>
      <c r="H40" s="349"/>
    </row>
    <row r="41" customFormat="false" ht="13.8" hidden="false" customHeight="false" outlineLevel="0" collapsed="false">
      <c r="A41" s="329"/>
      <c r="B41" s="323"/>
      <c r="C41" s="323"/>
      <c r="D41" s="350"/>
      <c r="E41" s="348"/>
      <c r="F41" s="348"/>
      <c r="G41" s="348"/>
      <c r="H41" s="349"/>
    </row>
    <row r="42" customFormat="false" ht="13.8" hidden="false" customHeight="false" outlineLevel="0" collapsed="false">
      <c r="A42" s="286" t="s">
        <v>85</v>
      </c>
      <c r="B42" s="337"/>
      <c r="C42" s="337" t="str">
        <f aca="false">+VLOOKUP($A42,BASEdades!$A$3:$AA$283,3,FALSE())</f>
        <v>ut</v>
      </c>
      <c r="D42" s="367" t="str">
        <f aca="false">+VLOOKUP($A42,BASEdades!$A$3:$AA$298,2,FALSE())</f>
        <v>Mostreig</v>
      </c>
      <c r="E42" s="338"/>
      <c r="F42" s="338"/>
      <c r="G42" s="338"/>
      <c r="H42" s="340" t="n">
        <f aca="false">+VLOOKUP($A42,BASEdades!$A$3:$AA$283,7,FALSE())</f>
        <v>135.39</v>
      </c>
      <c r="I42" s="340" t="e">
        <f aca="false">#REF!*H42</f>
        <v>#REF!</v>
      </c>
    </row>
    <row r="43" customFormat="false" ht="68.65" hidden="false" customHeight="false" outlineLevel="0" collapsed="false">
      <c r="A43" s="329"/>
      <c r="B43" s="368"/>
      <c r="C43" s="368"/>
      <c r="D43" s="353" t="str">
        <f aca="false">+VLOOKUP($A42,BASEdades!$A$3:$AA$283,4,FALSE())</f>
        <v>Mostreig, realització de con d'Abrams, elaboració de les provetes, cura, recapçament i assaig a compressió d'una sèrie de cinc provetes cilíndriques de 15x30 cm, segons la norma UNE-EN 12390-1, UNE-EN 12390-2, UNE-EN 12390-3, UNE-EN 12350-1 i UNE-EN 12350-2</v>
      </c>
      <c r="E43" s="341"/>
      <c r="F43" s="341"/>
      <c r="G43" s="341"/>
      <c r="H43" s="344"/>
      <c r="I43" s="370"/>
    </row>
    <row r="44" customFormat="false" ht="14.9" hidden="false" customHeight="false" outlineLevel="0" collapsed="false">
      <c r="A44" s="329"/>
      <c r="B44" s="368"/>
      <c r="C44" s="368"/>
      <c r="D44" s="341" t="str">
        <f aca="false">+VLOOKUP($A42,BASEdades!$A$3:$AA$283,5,FALSE())</f>
        <v>.</v>
      </c>
      <c r="E44" s="341"/>
      <c r="F44" s="341"/>
      <c r="G44" s="341"/>
      <c r="H44" s="344"/>
      <c r="I44" s="370"/>
    </row>
    <row r="45" customFormat="false" ht="13.8" hidden="false" customHeight="false" outlineLevel="0" collapsed="false">
      <c r="A45" s="329"/>
      <c r="B45" s="323"/>
      <c r="C45" s="323"/>
      <c r="D45" s="350"/>
      <c r="E45" s="348"/>
      <c r="F45" s="348"/>
      <c r="G45" s="348"/>
      <c r="H45" s="349"/>
    </row>
    <row r="46" customFormat="false" ht="13.8" hidden="false" customHeight="false" outlineLevel="0" collapsed="false">
      <c r="A46" s="354"/>
      <c r="B46" s="355"/>
      <c r="C46" s="355"/>
      <c r="D46" s="351"/>
      <c r="E46" s="352"/>
      <c r="F46" s="352"/>
      <c r="G46" s="352"/>
      <c r="H46" s="358"/>
      <c r="I46" s="279"/>
    </row>
    <row r="47" customFormat="false" ht="13.8" hidden="false" customHeight="false" outlineLevel="0" collapsed="false">
      <c r="A47" s="286" t="s">
        <v>71</v>
      </c>
      <c r="B47" s="337"/>
      <c r="C47" s="337" t="str">
        <f aca="false">+VLOOKUP($A47,BASEdades!$A$3:$AA$283,3,FALSE())</f>
        <v>m3</v>
      </c>
      <c r="D47" s="367" t="str">
        <f aca="false">+VLOOKUP($A47,BASEdades!$A$3:$AA$298,2,FALSE())</f>
        <v>Rebaix per a fonaments i pous</v>
      </c>
      <c r="E47" s="338"/>
      <c r="F47" s="338"/>
      <c r="G47" s="338"/>
      <c r="H47" s="340" t="n">
        <f aca="false">+VLOOKUP($A47,BASEdades!$A$3:$AA$283,7,FALSE())</f>
        <v>33.63</v>
      </c>
      <c r="I47" s="340" t="e">
        <f aca="false">#REF!*H47</f>
        <v>#REF!</v>
      </c>
    </row>
    <row r="48" customFormat="false" ht="68.65" hidden="false" customHeight="false" outlineLevel="0" collapsed="false">
      <c r="A48" s="329"/>
      <c r="B48" s="368"/>
      <c r="C48" s="368"/>
      <c r="D48" s="353" t="str">
        <f aca="false">+VLOOKUP($A47,BASEdades!$A$3:$AA$283,4,FALSE())</f>
        <v>Excavació a cel obert, en terra d'argila semidura, amb mitjans mecànics i càrrega a camió. El preu no inclou el transport dels materials excavats. Excavació de rases per a fonaments o pous, en terreny existent, amb mitjans mecànics adients, i càrrega sobre camió o contenidor. </v>
      </c>
      <c r="E48" s="341"/>
      <c r="F48" s="341"/>
      <c r="G48" s="341"/>
      <c r="H48" s="344"/>
      <c r="I48" s="370"/>
    </row>
    <row r="49" customFormat="false" ht="14.9" hidden="false" customHeight="false" outlineLevel="0" collapsed="false">
      <c r="A49" s="329"/>
      <c r="B49" s="368"/>
      <c r="C49" s="368"/>
      <c r="D49" s="341" t="str">
        <f aca="false">+VLOOKUP($A47,BASEdades!$A$3:$AA$283,6,FALSE())</f>
        <v>.</v>
      </c>
      <c r="E49" s="348"/>
      <c r="F49" s="348"/>
      <c r="G49" s="348"/>
      <c r="H49" s="344"/>
      <c r="I49" s="370"/>
    </row>
    <row r="50" customFormat="false" ht="13.8" hidden="false" customHeight="false" outlineLevel="0" collapsed="false">
      <c r="A50" s="329"/>
      <c r="B50" s="323"/>
      <c r="C50" s="323"/>
      <c r="D50" s="286" t="s">
        <v>995</v>
      </c>
      <c r="E50" s="378" t="n">
        <f aca="false">+VLOOKUP($D50,PREUS!$B$1:$F$589,3,FALSE())</f>
        <v>41.71</v>
      </c>
      <c r="F50" s="378" t="str">
        <f aca="false">+VLOOKUP($D50,PREUS!$B$1:$F$589,4,FALSE())</f>
        <v>h</v>
      </c>
      <c r="G50" s="406" t="n">
        <v>0.47</v>
      </c>
      <c r="H50" s="404" t="n">
        <f aca="false">E50*G50</f>
        <v>19.6037</v>
      </c>
    </row>
    <row r="51" customFormat="false" ht="13.8" hidden="false" customHeight="false" outlineLevel="0" collapsed="false">
      <c r="A51" s="329"/>
      <c r="B51" s="323"/>
      <c r="C51" s="323"/>
      <c r="D51" s="286" t="s">
        <v>991</v>
      </c>
      <c r="E51" s="378" t="n">
        <f aca="false">+VLOOKUP($D51,PREUS!$B$1:$F$589,3,FALSE())</f>
        <v>27.39</v>
      </c>
      <c r="F51" s="378" t="str">
        <f aca="false">+VLOOKUP($D51,PREUS!$B$1:$F$589,4,FALSE())</f>
        <v>h</v>
      </c>
      <c r="G51" s="406" t="n">
        <v>0.488</v>
      </c>
      <c r="H51" s="404" t="n">
        <f aca="false">E51*G51</f>
        <v>13.36632</v>
      </c>
    </row>
    <row r="52" customFormat="false" ht="13.8" hidden="false" customHeight="false" outlineLevel="0" collapsed="false">
      <c r="B52" s="323"/>
      <c r="C52" s="323"/>
      <c r="D52" s="286" t="s">
        <v>987</v>
      </c>
      <c r="E52" s="379" t="n">
        <f aca="false">SUM(H50:H51)</f>
        <v>32.97002</v>
      </c>
      <c r="F52" s="403" t="s">
        <v>988</v>
      </c>
      <c r="G52" s="405" t="n">
        <v>0.02</v>
      </c>
      <c r="H52" s="404" t="n">
        <f aca="false">E52*G52</f>
        <v>0.6594004</v>
      </c>
    </row>
    <row r="53" customFormat="false" ht="13.8" hidden="false" customHeight="false" outlineLevel="0" collapsed="false">
      <c r="A53" s="329"/>
      <c r="B53" s="323"/>
      <c r="C53" s="323"/>
      <c r="D53" s="408"/>
      <c r="E53" s="378"/>
      <c r="F53" s="378"/>
      <c r="G53" s="406"/>
      <c r="H53" s="404"/>
    </row>
    <row r="54" s="415" customFormat="true" ht="13.8" hidden="false" customHeight="false" outlineLevel="0" collapsed="false">
      <c r="A54" s="409"/>
      <c r="B54" s="410"/>
      <c r="C54" s="410"/>
      <c r="D54" s="411"/>
      <c r="E54" s="412"/>
      <c r="F54" s="412"/>
      <c r="G54" s="412"/>
      <c r="H54" s="413"/>
      <c r="I54" s="414"/>
      <c r="M54" s="0"/>
    </row>
    <row r="55" customFormat="false" ht="13.8" hidden="false" customHeight="false" outlineLevel="0" collapsed="false">
      <c r="A55" s="286" t="s">
        <v>82</v>
      </c>
      <c r="B55" s="337"/>
      <c r="C55" s="337" t="str">
        <f aca="false">+VLOOKUP($A55,BASEdades!$A$3:$AA$283,3,FALSE())</f>
        <v>m3</v>
      </c>
      <c r="D55" s="367" t="str">
        <f aca="false">+VLOOKUP($A55,BASEdades!$A$3:$AA$298,2,FALSE())</f>
        <v>Fonament de formigó HA-25</v>
      </c>
      <c r="E55" s="338"/>
      <c r="F55" s="338"/>
      <c r="G55" s="338"/>
      <c r="H55" s="340" t="n">
        <f aca="false">+VLOOKUP($A55,BASEdades!$A$3:$AA$283,7,FALSE())</f>
        <v>265</v>
      </c>
      <c r="I55" s="340" t="e">
        <f aca="false">#REF!*H55</f>
        <v>#REF!</v>
      </c>
    </row>
    <row r="56" customFormat="false" ht="170.25" hidden="false" customHeight="true" outlineLevel="0" collapsed="false">
      <c r="A56" s="329"/>
      <c r="B56" s="368"/>
      <c r="C56" s="368"/>
      <c r="D56" s="353" t="str">
        <f aca="false">+VLOOKUP($A55,BASEdades!$A$3:$AA$283,4,FALSE())</f>
        <v>Fonament de formigÃ³ armat HA-25/B/20/IIa abocat des de camiÃ³ o qualsevol altre mitjÃ  alternatiu, amb armadura de fonament i esperes de murs que arrenquen del fonament amb barres tipus AP500 S de lÃ­mit elÃ stic &gt; = 500 N / mm2 d'acer en barres corrugades, amb una quantia de fins a 45 kg/mÂ³ (comprovada i validada per el contractista) i encofrat si Ã©s necessari per la tipologia del terreny amb tauler de fusta o qualsevol altre sistema. S'inclouen tots els elements necessaris per a la realització del fonament: formigó, acer, encofrat, perforacions, connectors i qualsevol altre element o treball auxiliar necessari per a la seva execució.   </v>
      </c>
      <c r="E56" s="341"/>
      <c r="F56" s="341"/>
      <c r="G56" s="341"/>
      <c r="H56" s="344"/>
      <c r="I56" s="370"/>
    </row>
    <row r="57" customFormat="false" ht="14.9" hidden="false" customHeight="false" outlineLevel="0" collapsed="false">
      <c r="A57" s="329"/>
      <c r="B57" s="368"/>
      <c r="C57" s="368"/>
      <c r="D57" s="341" t="str">
        <f aca="false">+VLOOKUP($A55,BASEdades!$A$3:$AA$283,6,FALSE())</f>
        <v>.</v>
      </c>
      <c r="E57" s="348"/>
      <c r="F57" s="348"/>
      <c r="G57" s="348"/>
      <c r="H57" s="344"/>
      <c r="I57" s="370"/>
    </row>
    <row r="58" customFormat="false" ht="13.8" hidden="false" customHeight="false" outlineLevel="0" collapsed="false">
      <c r="A58" s="329"/>
      <c r="B58" s="368"/>
      <c r="C58" s="368"/>
      <c r="D58" s="286" t="s">
        <v>996</v>
      </c>
      <c r="E58" s="378" t="n">
        <f aca="false">+VLOOKUP($D58,PREUS!$B$1:$F$589,3,FALSE())</f>
        <v>92.2</v>
      </c>
      <c r="F58" s="378" t="str">
        <f aca="false">+VLOOKUP($D58,PREUS!$B$1:$F$589,4,FALSE())</f>
        <v>m3</v>
      </c>
      <c r="G58" s="406" t="n">
        <v>1.1</v>
      </c>
      <c r="H58" s="404" t="n">
        <f aca="false">E58*G58</f>
        <v>101.42</v>
      </c>
      <c r="I58" s="370"/>
    </row>
    <row r="59" customFormat="false" ht="13.8" hidden="false" customHeight="false" outlineLevel="0" collapsed="false">
      <c r="A59" s="329"/>
      <c r="B59" s="323"/>
      <c r="C59" s="323"/>
      <c r="D59" s="416" t="s">
        <v>997</v>
      </c>
      <c r="E59" s="378" t="n">
        <f aca="false">+VLOOKUP($D59,PREUS!$B$1:$F$589,3,FALSE())</f>
        <v>1.6</v>
      </c>
      <c r="F59" s="378" t="str">
        <f aca="false">+VLOOKUP($D59,PREUS!$B$1:$F$589,4,FALSE())</f>
        <v>kg</v>
      </c>
      <c r="G59" s="406" t="n">
        <v>50</v>
      </c>
      <c r="H59" s="404" t="n">
        <f aca="false">E59*G59</f>
        <v>80</v>
      </c>
    </row>
    <row r="60" customFormat="false" ht="13.8" hidden="false" customHeight="false" outlineLevel="0" collapsed="false">
      <c r="A60" s="329"/>
      <c r="B60" s="323"/>
      <c r="C60" s="323"/>
      <c r="D60" s="286" t="s">
        <v>998</v>
      </c>
      <c r="E60" s="378" t="n">
        <f aca="false">+VLOOKUP($D60,PREUS!$B$1:$F$589,3,FALSE())</f>
        <v>30.76</v>
      </c>
      <c r="F60" s="378" t="str">
        <f aca="false">+VLOOKUP($D60,PREUS!$B$1:$F$589,4,FALSE())</f>
        <v>h</v>
      </c>
      <c r="G60" s="406" t="n">
        <v>0.15</v>
      </c>
      <c r="H60" s="404" t="n">
        <f aca="false">E60*G60</f>
        <v>4.614</v>
      </c>
    </row>
    <row r="61" customFormat="false" ht="13.8" hidden="false" customHeight="false" outlineLevel="0" collapsed="false">
      <c r="A61" s="329"/>
      <c r="B61" s="323"/>
      <c r="C61" s="323"/>
      <c r="D61" s="286" t="s">
        <v>999</v>
      </c>
      <c r="E61" s="378" t="n">
        <f aca="false">+VLOOKUP($D61,PREUS!$B$1:$F$589,3,FALSE())</f>
        <v>27.36</v>
      </c>
      <c r="F61" s="378" t="str">
        <f aca="false">+VLOOKUP($D61,PREUS!$B$1:$F$589,4,FALSE())</f>
        <v>h</v>
      </c>
      <c r="G61" s="406" t="n">
        <v>0.15</v>
      </c>
      <c r="H61" s="404" t="n">
        <f aca="false">E61*G61</f>
        <v>4.104</v>
      </c>
    </row>
    <row r="62" customFormat="false" ht="13.8" hidden="false" customHeight="false" outlineLevel="0" collapsed="false">
      <c r="A62" s="329"/>
      <c r="B62" s="323"/>
      <c r="C62" s="323"/>
      <c r="D62" s="286" t="s">
        <v>989</v>
      </c>
      <c r="E62" s="378" t="n">
        <f aca="false">+VLOOKUP($D62,PREUS!$B$1:$F$589,3,FALSE())</f>
        <v>30.79</v>
      </c>
      <c r="F62" s="378" t="str">
        <f aca="false">+VLOOKUP($D62,PREUS!$B$1:$F$589,4,FALSE())</f>
        <v>h</v>
      </c>
      <c r="G62" s="406" t="n">
        <v>1.2</v>
      </c>
      <c r="H62" s="404" t="n">
        <f aca="false">E62*G62</f>
        <v>36.948</v>
      </c>
    </row>
    <row r="63" customFormat="false" ht="13.8" hidden="false" customHeight="false" outlineLevel="0" collapsed="false">
      <c r="A63" s="329"/>
      <c r="B63" s="323"/>
      <c r="C63" s="323"/>
      <c r="D63" s="286" t="s">
        <v>991</v>
      </c>
      <c r="E63" s="378" t="n">
        <f aca="false">+VLOOKUP($D63,PREUS!$B$1:$F$589,3,FALSE())</f>
        <v>27.39</v>
      </c>
      <c r="F63" s="378" t="str">
        <f aca="false">+VLOOKUP($D63,PREUS!$B$1:$F$589,4,FALSE())</f>
        <v>h</v>
      </c>
      <c r="G63" s="406" t="n">
        <v>1.1945</v>
      </c>
      <c r="H63" s="404" t="n">
        <f aca="false">E63*G63</f>
        <v>32.717355</v>
      </c>
    </row>
    <row r="64" customFormat="false" ht="13.8" hidden="false" customHeight="false" outlineLevel="0" collapsed="false">
      <c r="B64" s="323"/>
      <c r="C64" s="323"/>
      <c r="D64" s="286" t="s">
        <v>987</v>
      </c>
      <c r="E64" s="379" t="n">
        <f aca="false">SUM(H57:H63)</f>
        <v>259.803355</v>
      </c>
      <c r="F64" s="403" t="s">
        <v>988</v>
      </c>
      <c r="G64" s="405" t="n">
        <v>0.02</v>
      </c>
      <c r="H64" s="404" t="n">
        <f aca="false">E64*G64</f>
        <v>5.1960671</v>
      </c>
    </row>
    <row r="65" s="415" customFormat="true" ht="13.8" hidden="false" customHeight="false" outlineLevel="0" collapsed="false">
      <c r="A65" s="409"/>
      <c r="B65" s="410"/>
      <c r="C65" s="410"/>
      <c r="D65" s="411"/>
      <c r="E65" s="412"/>
      <c r="F65" s="412"/>
      <c r="G65" s="412"/>
      <c r="H65" s="413"/>
      <c r="I65" s="414"/>
      <c r="M65" s="0"/>
    </row>
    <row r="66" s="415" customFormat="true" ht="13.8" hidden="false" customHeight="false" outlineLevel="0" collapsed="false">
      <c r="A66" s="409"/>
      <c r="B66" s="410"/>
      <c r="C66" s="410"/>
      <c r="D66" s="411"/>
      <c r="E66" s="412"/>
      <c r="F66" s="412"/>
      <c r="G66" s="412"/>
      <c r="H66" s="413"/>
      <c r="I66" s="414"/>
      <c r="M66" s="0"/>
    </row>
    <row r="67" s="415" customFormat="true" ht="13.8" hidden="false" customHeight="false" outlineLevel="0" collapsed="false">
      <c r="A67" s="409"/>
      <c r="B67" s="410"/>
      <c r="C67" s="410"/>
      <c r="D67" s="411"/>
      <c r="E67" s="412"/>
      <c r="F67" s="412"/>
      <c r="G67" s="412"/>
      <c r="H67" s="413"/>
      <c r="I67" s="414"/>
      <c r="M67" s="0"/>
    </row>
    <row r="68" customFormat="false" ht="13.8" hidden="false" customHeight="false" outlineLevel="0" collapsed="false">
      <c r="A68" s="277" t="s">
        <v>723</v>
      </c>
      <c r="B68" s="337"/>
      <c r="C68" s="337" t="str">
        <f aca="false">+VLOOKUP($A68,BASEdades!$A$3:$AA$283,3,FALSE())</f>
        <v>kg</v>
      </c>
      <c r="D68" s="367" t="str">
        <f aca="false">+VLOOKUP($A68,BASEdades!$A$3:$AA$298,2,FALSE())</f>
        <v>Acer en bigues</v>
      </c>
      <c r="E68" s="338"/>
      <c r="F68" s="338"/>
      <c r="G68" s="338"/>
      <c r="H68" s="340" t="n">
        <f aca="false">+VLOOKUP($A68,BASEdades!$A$3:$AA$283,7,FALSE())</f>
        <v>3.192</v>
      </c>
      <c r="I68" s="340" t="e">
        <f aca="false">#REF!*H68</f>
        <v>#REF!</v>
      </c>
    </row>
    <row r="69" customFormat="false" ht="60.75" hidden="false" customHeight="true" outlineLevel="0" collapsed="false">
      <c r="A69" s="354"/>
      <c r="B69" s="368"/>
      <c r="C69" s="368"/>
      <c r="D69" s="353" t="str">
        <f aca="false">+VLOOKUP($A68,BASEdades!$A$3:$AA$283,4,FALSE())</f>
        <v>Acer UNE-EN 10025 S275JR, en bigues formades por peces simples de perfils laminats en calent de les sèries IPN, IPE, HEB, HEA, HEM o UPN, acabat amb emprimació antioxidant, amb unions soldades en obra, a una altura de fins a 3 m.</v>
      </c>
      <c r="E69" s="341"/>
      <c r="F69" s="341"/>
      <c r="G69" s="341"/>
      <c r="H69" s="344"/>
      <c r="I69" s="370"/>
    </row>
    <row r="70" customFormat="false" ht="14.9" hidden="false" customHeight="false" outlineLevel="0" collapsed="false">
      <c r="A70" s="354"/>
      <c r="B70" s="368"/>
      <c r="C70" s="368"/>
      <c r="D70" s="341" t="str">
        <f aca="false">+VLOOKUP($A68,BASEdades!$A$3:$AA$283,5,FALSE())</f>
        <v>.Mides : segons disseny</v>
      </c>
      <c r="E70" s="341"/>
      <c r="F70" s="341"/>
      <c r="G70" s="341"/>
      <c r="H70" s="344"/>
      <c r="I70" s="370"/>
    </row>
    <row r="71" customFormat="false" ht="13.8" hidden="false" customHeight="false" outlineLevel="0" collapsed="false">
      <c r="A71" s="329"/>
      <c r="B71" s="323"/>
      <c r="C71" s="323"/>
      <c r="D71" s="286" t="s">
        <v>1000</v>
      </c>
      <c r="E71" s="378" t="n">
        <f aca="false">+VLOOKUP($D71,PREUS!$B$1:$F$589,3,FALSE())</f>
        <v>1.54</v>
      </c>
      <c r="F71" s="378" t="str">
        <f aca="false">+VLOOKUP($D71,PREUS!$B$1:$F$589,4,FALSE())</f>
        <v>kg</v>
      </c>
      <c r="G71" s="348" t="n">
        <v>1</v>
      </c>
      <c r="H71" s="404" t="n">
        <f aca="false">E71*G71</f>
        <v>1.54</v>
      </c>
    </row>
    <row r="72" customFormat="false" ht="13.8" hidden="false" customHeight="false" outlineLevel="0" collapsed="false">
      <c r="A72" s="329"/>
      <c r="B72" s="323"/>
      <c r="C72" s="323"/>
      <c r="D72" s="286" t="s">
        <v>1001</v>
      </c>
      <c r="E72" s="378" t="n">
        <f aca="false">+VLOOKUP($D72,PREUS!$B$1:$F$589,3,FALSE())</f>
        <v>3.42</v>
      </c>
      <c r="F72" s="378" t="str">
        <f aca="false">+VLOOKUP($D72,PREUS!$B$1:$F$589,4,FALSE())</f>
        <v>h</v>
      </c>
      <c r="G72" s="348" t="n">
        <v>0.04</v>
      </c>
      <c r="H72" s="404" t="n">
        <f aca="false">E72*G72</f>
        <v>0.1368</v>
      </c>
    </row>
    <row r="73" customFormat="false" ht="13.8" hidden="false" customHeight="false" outlineLevel="0" collapsed="false">
      <c r="A73" s="329"/>
      <c r="B73" s="323"/>
      <c r="C73" s="323"/>
      <c r="D73" s="286" t="s">
        <v>1002</v>
      </c>
      <c r="E73" s="378" t="n">
        <f aca="false">+VLOOKUP($D73,PREUS!$B$1:$F$589,3,FALSE())</f>
        <v>30.76</v>
      </c>
      <c r="F73" s="378" t="str">
        <f aca="false">+VLOOKUP($D73,PREUS!$B$1:$F$589,4,FALSE())</f>
        <v>h</v>
      </c>
      <c r="G73" s="348" t="n">
        <v>0.0365</v>
      </c>
      <c r="H73" s="404" t="n">
        <f aca="false">E73*G73</f>
        <v>1.12274</v>
      </c>
    </row>
    <row r="74" customFormat="false" ht="13.8" hidden="false" customHeight="false" outlineLevel="0" collapsed="false">
      <c r="A74" s="329"/>
      <c r="B74" s="323"/>
      <c r="C74" s="323"/>
      <c r="D74" s="286" t="s">
        <v>1003</v>
      </c>
      <c r="E74" s="378" t="n">
        <f aca="false">+VLOOKUP($D74,PREUS!$B$1:$F$589,3,FALSE())</f>
        <v>27.36</v>
      </c>
      <c r="F74" s="378" t="str">
        <f aca="false">+VLOOKUP($D74,PREUS!$B$1:$F$589,4,FALSE())</f>
        <v>h</v>
      </c>
      <c r="G74" s="348" t="n">
        <v>0.012</v>
      </c>
      <c r="H74" s="404" t="n">
        <f aca="false">E74*G74</f>
        <v>0.32832</v>
      </c>
    </row>
    <row r="75" customFormat="false" ht="13.8" hidden="false" customHeight="false" outlineLevel="0" collapsed="false">
      <c r="B75" s="323"/>
      <c r="C75" s="323"/>
      <c r="D75" s="286" t="s">
        <v>987</v>
      </c>
      <c r="E75" s="379" t="n">
        <f aca="false">SUM(H71:H74)</f>
        <v>3.12786</v>
      </c>
      <c r="F75" s="403" t="s">
        <v>988</v>
      </c>
      <c r="G75" s="405" t="n">
        <v>0.02</v>
      </c>
      <c r="H75" s="404" t="n">
        <f aca="false">E75*G75</f>
        <v>0.0625572</v>
      </c>
    </row>
    <row r="76" customFormat="false" ht="13.8" hidden="false" customHeight="false" outlineLevel="0" collapsed="false">
      <c r="A76" s="329"/>
      <c r="B76" s="323"/>
      <c r="C76" s="323"/>
      <c r="D76" s="350"/>
      <c r="E76" s="348"/>
      <c r="F76" s="348"/>
      <c r="G76" s="348"/>
      <c r="H76" s="349"/>
    </row>
    <row r="77" customFormat="false" ht="13.8" hidden="false" customHeight="false" outlineLevel="0" collapsed="false">
      <c r="A77" s="286" t="s">
        <v>145</v>
      </c>
      <c r="B77" s="337"/>
      <c r="C77" s="337" t="str">
        <f aca="false">+VLOOKUP($A77,BASEdades!$A$3:$AA$283,3,FALSE())</f>
        <v>m2</v>
      </c>
      <c r="D77" s="367" t="str">
        <f aca="false">+VLOOKUP($A77,BASEdades!$A$3:$AA$298,2,FALSE())</f>
        <v>Pintat perfils metàl·lics</v>
      </c>
      <c r="E77" s="338"/>
      <c r="F77" s="338"/>
      <c r="G77" s="338"/>
      <c r="H77" s="340" t="n">
        <f aca="false">+VLOOKUP($A77,BASEdades!$A$3:$AA$283,7,FALSE())</f>
        <v>32.29</v>
      </c>
      <c r="I77" s="340" t="e">
        <f aca="false">#REF!*H77</f>
        <v>#REF!</v>
      </c>
    </row>
    <row r="78" customFormat="false" ht="95.5" hidden="false" customHeight="false" outlineLevel="0" collapsed="false">
      <c r="A78" s="329"/>
      <c r="B78" s="368"/>
      <c r="C78" s="368"/>
      <c r="D78" s="353" t="str">
        <f aca="false">+VLOOKUP($A77,BASEdades!$A$3:$AA$283,4,FALSE())</f>
        <v>Aplicació manual de dues mans d'esmalt sintètic d'assecat ràpid, a base de resines alquídiques, color blanc, acabat brillant, (rendiment: 0,077 l/m² cada mà); prèvia aplicació d'una mà d'emprimació sintètica antioxidant d'assecat ràpid, a base de resines alquídiques, color gris, acabat mat (rendiment: 0,125 l/m²), sobre biga formada per peces simples de perfils laminats d'acer.</v>
      </c>
      <c r="E78" s="341"/>
      <c r="F78" s="341"/>
      <c r="G78" s="341"/>
      <c r="H78" s="344"/>
      <c r="I78" s="370"/>
    </row>
    <row r="79" customFormat="false" ht="14.9" hidden="false" customHeight="false" outlineLevel="0" collapsed="false">
      <c r="A79" s="329"/>
      <c r="B79" s="368"/>
      <c r="C79" s="368"/>
      <c r="D79" s="341" t="str">
        <f aca="false">+VLOOKUP($A77,BASEdades!$A$3:$AA$283,5,FALSE())</f>
        <v>.</v>
      </c>
      <c r="E79" s="341"/>
      <c r="F79" s="341"/>
      <c r="G79" s="341"/>
      <c r="H79" s="344"/>
      <c r="I79" s="370"/>
    </row>
    <row r="80" customFormat="false" ht="13.8" hidden="false" customHeight="false" outlineLevel="0" collapsed="false">
      <c r="A80" s="329"/>
      <c r="B80" s="323"/>
      <c r="C80" s="323"/>
      <c r="D80" s="286" t="s">
        <v>1004</v>
      </c>
      <c r="E80" s="378" t="n">
        <f aca="false">+VLOOKUP($D80,PREUS!$B$1:$F$589,3,FALSE())</f>
        <v>13.28</v>
      </c>
      <c r="F80" s="378" t="str">
        <f aca="false">+VLOOKUP($D80,PREUS!$B$1:$F$589,4,FALSE())</f>
        <v>l</v>
      </c>
      <c r="G80" s="348" t="n">
        <v>0.154</v>
      </c>
      <c r="H80" s="404" t="n">
        <f aca="false">E80*G80</f>
        <v>2.04512</v>
      </c>
    </row>
    <row r="81" customFormat="false" ht="13.8" hidden="false" customHeight="false" outlineLevel="0" collapsed="false">
      <c r="A81" s="329"/>
      <c r="B81" s="323"/>
      <c r="C81" s="323"/>
      <c r="D81" s="286" t="s">
        <v>1005</v>
      </c>
      <c r="E81" s="378" t="n">
        <f aca="false">+VLOOKUP($D81,PREUS!$B$1:$F$589,3,FALSE())</f>
        <v>30.79</v>
      </c>
      <c r="F81" s="378" t="str">
        <f aca="false">+VLOOKUP($D81,PREUS!$B$1:$F$589,4,FALSE())</f>
        <v>h</v>
      </c>
      <c r="G81" s="348" t="n">
        <v>0.8</v>
      </c>
      <c r="H81" s="404" t="n">
        <f aca="false">E81*G81</f>
        <v>24.632</v>
      </c>
    </row>
    <row r="82" customFormat="false" ht="13.8" hidden="false" customHeight="false" outlineLevel="0" collapsed="false">
      <c r="A82" s="329"/>
      <c r="B82" s="323"/>
      <c r="C82" s="323"/>
      <c r="D82" s="286" t="s">
        <v>1006</v>
      </c>
      <c r="E82" s="378" t="n">
        <f aca="false">+VLOOKUP($D82,PREUS!$B$1:$F$589,3,FALSE())</f>
        <v>27.39</v>
      </c>
      <c r="F82" s="378" t="str">
        <f aca="false">+VLOOKUP($D82,PREUS!$B$1:$F$589,4,FALSE())</f>
        <v>h</v>
      </c>
      <c r="G82" s="348" t="n">
        <v>0.164</v>
      </c>
      <c r="H82" s="404" t="n">
        <f aca="false">E82*G82</f>
        <v>4.49196</v>
      </c>
    </row>
    <row r="83" customFormat="false" ht="13.8" hidden="false" customHeight="false" outlineLevel="0" collapsed="false">
      <c r="A83" s="329"/>
      <c r="B83" s="323"/>
      <c r="C83" s="323"/>
      <c r="D83" s="286" t="s">
        <v>1007</v>
      </c>
      <c r="E83" s="378" t="n">
        <f aca="false">+VLOOKUP($D83,PREUS!$B$1:$F$589,3,FALSE())</f>
        <v>129.04</v>
      </c>
      <c r="F83" s="378" t="str">
        <f aca="false">+VLOOKUP($D83,PREUS!$B$1:$F$589,4,FALSE())</f>
        <v>u</v>
      </c>
      <c r="G83" s="348" t="n">
        <v>0.01</v>
      </c>
      <c r="H83" s="404" t="n">
        <f aca="false">E83*G83</f>
        <v>1.2904</v>
      </c>
    </row>
    <row r="84" customFormat="false" ht="13.8" hidden="false" customHeight="false" outlineLevel="0" collapsed="false">
      <c r="B84" s="323"/>
      <c r="C84" s="323"/>
      <c r="D84" s="286" t="s">
        <v>987</v>
      </c>
      <c r="E84" s="379" t="n">
        <f aca="false">SUM(H78:H81)</f>
        <v>26.67712</v>
      </c>
      <c r="F84" s="403" t="s">
        <v>988</v>
      </c>
      <c r="G84" s="405" t="n">
        <v>0.02</v>
      </c>
      <c r="H84" s="404" t="n">
        <f aca="false">E84*G84</f>
        <v>0.5335424</v>
      </c>
    </row>
    <row r="85" customFormat="false" ht="13.8" hidden="false" customHeight="false" outlineLevel="0" collapsed="false">
      <c r="A85" s="329"/>
      <c r="B85" s="368"/>
      <c r="C85" s="368"/>
      <c r="D85" s="341"/>
      <c r="E85" s="341"/>
      <c r="F85" s="341"/>
      <c r="G85" s="341"/>
      <c r="H85" s="344"/>
      <c r="I85" s="370"/>
    </row>
    <row r="86" s="415" customFormat="true" ht="13.8" hidden="false" customHeight="false" outlineLevel="0" collapsed="false">
      <c r="A86" s="409"/>
      <c r="B86" s="410"/>
      <c r="C86" s="410"/>
      <c r="D86" s="411"/>
      <c r="E86" s="412"/>
      <c r="F86" s="412"/>
      <c r="G86" s="412"/>
      <c r="H86" s="413"/>
      <c r="I86" s="414"/>
      <c r="M86" s="0"/>
    </row>
    <row r="87" customFormat="false" ht="13.8" hidden="false" customHeight="false" outlineLevel="0" collapsed="false">
      <c r="A87" s="277" t="s">
        <v>127</v>
      </c>
      <c r="B87" s="337"/>
      <c r="C87" s="337" t="str">
        <f aca="false">+VLOOKUP($A87,BASEdades!$A$3:$AA$283,3,FALSE())</f>
        <v>m3</v>
      </c>
      <c r="D87" s="367" t="str">
        <f aca="false">+VLOOKUP($A87,BASEdades!$A$3:$AA$298,2,FALSE())</f>
        <v>Reomplert localitzat amb àrids reciclats</v>
      </c>
      <c r="E87" s="338"/>
      <c r="F87" s="338"/>
      <c r="G87" s="338"/>
      <c r="H87" s="340" t="n">
        <f aca="false">+VLOOKUP($A87,BASEdades!$A$3:$AA$283,7,FALSE())</f>
        <v>32.48</v>
      </c>
      <c r="I87" s="340" t="e">
        <f aca="false">#REF!*H87</f>
        <v>#REF!</v>
      </c>
    </row>
    <row r="88" customFormat="false" ht="62.25" hidden="false" customHeight="true" outlineLevel="0" collapsed="false">
      <c r="A88" s="354"/>
      <c r="B88" s="368"/>
      <c r="C88" s="368"/>
      <c r="D88" s="353" t="str">
        <f aca="false">+VLOOKUP($A87,BASEdades!$A$3:$AA$283,4,FALSE())</f>
        <v>Reomplert localitzat amb àrid reciclat mixt de formigó i material ceràmic de 40 a 80 mm de diàmetre i compactació en tongades successives de 20 cm d'espessor màxim amb picó vibrant de guiat manual.
</v>
      </c>
      <c r="E88" s="341"/>
      <c r="F88" s="341"/>
      <c r="G88" s="341"/>
      <c r="H88" s="344"/>
      <c r="I88" s="370"/>
    </row>
    <row r="89" customFormat="false" ht="14.9" hidden="false" customHeight="false" outlineLevel="0" collapsed="false">
      <c r="A89" s="354"/>
      <c r="B89" s="368"/>
      <c r="C89" s="368"/>
      <c r="D89" s="341" t="str">
        <f aca="false">+VLOOKUP($A87,BASEdades!$A$3:$AA$283,5,FALSE())</f>
        <v>.</v>
      </c>
      <c r="E89" s="341"/>
      <c r="F89" s="341"/>
      <c r="G89" s="341"/>
      <c r="H89" s="344"/>
      <c r="I89" s="370"/>
    </row>
    <row r="90" customFormat="false" ht="13.8" hidden="false" customHeight="false" outlineLevel="0" collapsed="false">
      <c r="A90" s="329"/>
      <c r="B90" s="368"/>
      <c r="C90" s="368"/>
      <c r="D90" s="286" t="s">
        <v>1008</v>
      </c>
      <c r="E90" s="378" t="n">
        <f aca="false">+VLOOKUP($D90,PREUS!$B$1:$F$589,3,FALSE())</f>
        <v>9.66</v>
      </c>
      <c r="F90" s="378" t="str">
        <f aca="false">+VLOOKUP($D90,PREUS!$B$1:$F$589,4,FALSE())</f>
        <v>t</v>
      </c>
      <c r="G90" s="406" t="n">
        <v>2</v>
      </c>
      <c r="H90" s="404" t="n">
        <f aca="false">E90*G90</f>
        <v>19.32</v>
      </c>
      <c r="I90" s="370"/>
    </row>
    <row r="91" customFormat="false" ht="13.8" hidden="false" customHeight="false" outlineLevel="0" collapsed="false">
      <c r="A91" s="329"/>
      <c r="B91" s="368"/>
      <c r="C91" s="368"/>
      <c r="D91" s="286" t="s">
        <v>1009</v>
      </c>
      <c r="E91" s="378" t="n">
        <f aca="false">+VLOOKUP($D91,PREUS!$B$1:$F$589,3,FALSE())</f>
        <v>1.5</v>
      </c>
      <c r="F91" s="378" t="str">
        <f aca="false">+VLOOKUP($D91,PREUS!$B$1:$F$589,4,FALSE())</f>
        <v>m3</v>
      </c>
      <c r="G91" s="406" t="n">
        <v>0.008</v>
      </c>
      <c r="H91" s="404" t="n">
        <f aca="false">E91*G91</f>
        <v>0.012</v>
      </c>
      <c r="I91" s="370"/>
    </row>
    <row r="92" customFormat="false" ht="13.8" hidden="false" customHeight="false" outlineLevel="0" collapsed="false">
      <c r="A92" s="329"/>
      <c r="B92" s="323"/>
      <c r="C92" s="323"/>
      <c r="D92" s="286" t="s">
        <v>1010</v>
      </c>
      <c r="E92" s="378" t="n">
        <f aca="false">+VLOOKUP($D92,PREUS!$B$1:$F$589,3,FALSE())</f>
        <v>36.8</v>
      </c>
      <c r="F92" s="378" t="str">
        <f aca="false">+VLOOKUP($D92,PREUS!$B$1:$F$589,4,FALSE())</f>
        <v>h</v>
      </c>
      <c r="G92" s="406" t="n">
        <v>0.025</v>
      </c>
      <c r="H92" s="404" t="n">
        <f aca="false">E92*G92</f>
        <v>0.92</v>
      </c>
    </row>
    <row r="93" customFormat="false" ht="13.8" hidden="false" customHeight="false" outlineLevel="0" collapsed="false">
      <c r="A93" s="329"/>
      <c r="B93" s="323"/>
      <c r="C93" s="323"/>
      <c r="D93" s="286" t="s">
        <v>1011</v>
      </c>
      <c r="E93" s="378" t="n">
        <f aca="false">+VLOOKUP($D93,PREUS!$B$1:$F$589,3,FALSE())</f>
        <v>3.92</v>
      </c>
      <c r="F93" s="378" t="str">
        <f aca="false">+VLOOKUP($D93,PREUS!$B$1:$F$589,4,FALSE())</f>
        <v>h</v>
      </c>
      <c r="G93" s="406" t="n">
        <v>0.325</v>
      </c>
      <c r="H93" s="404" t="n">
        <f aca="false">E93*G93</f>
        <v>1.274</v>
      </c>
    </row>
    <row r="94" customFormat="false" ht="13.8" hidden="false" customHeight="false" outlineLevel="0" collapsed="false">
      <c r="A94" s="329"/>
      <c r="B94" s="323"/>
      <c r="C94" s="323"/>
      <c r="D94" s="286" t="s">
        <v>986</v>
      </c>
      <c r="E94" s="378" t="n">
        <f aca="false">+VLOOKUP($D94,PREUS!$B$1:$F$589,3,FALSE())</f>
        <v>25.8</v>
      </c>
      <c r="F94" s="378" t="str">
        <f aca="false">+VLOOKUP($D94,PREUS!$B$1:$F$589,4,FALSE())</f>
        <v>h</v>
      </c>
      <c r="G94" s="406" t="n">
        <v>0.4</v>
      </c>
      <c r="H94" s="404" t="n">
        <f aca="false">E94*G94</f>
        <v>10.32</v>
      </c>
    </row>
    <row r="95" customFormat="false" ht="13.8" hidden="false" customHeight="false" outlineLevel="0" collapsed="false">
      <c r="B95" s="323"/>
      <c r="C95" s="323"/>
      <c r="D95" s="286" t="s">
        <v>987</v>
      </c>
      <c r="E95" s="379" t="n">
        <f aca="false">SUM(H90:H94)</f>
        <v>31.846</v>
      </c>
      <c r="F95" s="403" t="s">
        <v>988</v>
      </c>
      <c r="G95" s="405" t="n">
        <v>0.02</v>
      </c>
      <c r="H95" s="404" t="n">
        <f aca="false">E95*G95</f>
        <v>0.63692</v>
      </c>
    </row>
    <row r="96" customFormat="false" ht="13.8" hidden="false" customHeight="false" outlineLevel="0" collapsed="false">
      <c r="A96" s="329"/>
      <c r="B96" s="323"/>
      <c r="C96" s="323"/>
      <c r="D96" s="350"/>
      <c r="E96" s="348"/>
      <c r="F96" s="348"/>
      <c r="G96" s="348"/>
      <c r="H96" s="349"/>
    </row>
    <row r="97" customFormat="false" ht="13.8" hidden="false" customHeight="false" outlineLevel="0" collapsed="false">
      <c r="A97" s="286" t="s">
        <v>132</v>
      </c>
      <c r="B97" s="337"/>
      <c r="C97" s="337" t="str">
        <f aca="false">+VLOOKUP($A97,BASEdades!$A$3:$AA$283,3,FALSE())</f>
        <v>m2</v>
      </c>
      <c r="D97" s="367" t="str">
        <f aca="false">+VLOOKUP($A97,BASEdades!$A$3:$AA$298,2,FALSE())</f>
        <v>Subbase de grava 15cm</v>
      </c>
      <c r="E97" s="338"/>
      <c r="F97" s="338"/>
      <c r="G97" s="338"/>
      <c r="H97" s="340" t="n">
        <f aca="false">+VLOOKUP($A97,BASEdades!$A$3:$AA$283,7,FALSE())</f>
        <v>15.315</v>
      </c>
      <c r="I97" s="340" t="e">
        <f aca="false">#REF!*H97</f>
        <v>#REF!</v>
      </c>
    </row>
    <row r="98" customFormat="false" ht="46.5" hidden="false" customHeight="true" outlineLevel="0" collapsed="false">
      <c r="A98" s="329"/>
      <c r="B98" s="368"/>
      <c r="C98" s="368"/>
      <c r="D98" s="353" t="str">
        <f aca="false">+VLOOKUP($A97,BASEdades!$A$3:$AA$283,4,FALSE())</f>
        <v>Subbase de grava de pedrera de pedra granítica de 15 cm de gruix i, grandària màxima de 50 a 70 mm, amb estesa i piconatge del material.
</v>
      </c>
      <c r="E98" s="341"/>
      <c r="F98" s="341"/>
      <c r="G98" s="341"/>
      <c r="H98" s="344"/>
      <c r="I98" s="370"/>
    </row>
    <row r="99" customFormat="false" ht="14.9" hidden="false" customHeight="false" outlineLevel="0" collapsed="false">
      <c r="A99" s="329"/>
      <c r="B99" s="368"/>
      <c r="C99" s="368"/>
      <c r="D99" s="341" t="str">
        <f aca="false">+VLOOKUP($A97,BASEdades!$A$3:$AA$283,5,FALSE())</f>
        <v>.</v>
      </c>
      <c r="E99" s="341"/>
      <c r="F99" s="341"/>
      <c r="G99" s="341"/>
      <c r="H99" s="344"/>
      <c r="I99" s="370"/>
    </row>
    <row r="100" customFormat="false" ht="13.8" hidden="false" customHeight="false" outlineLevel="0" collapsed="false">
      <c r="A100" s="329"/>
      <c r="B100" s="368"/>
      <c r="C100" s="368"/>
      <c r="D100" s="286" t="s">
        <v>1012</v>
      </c>
      <c r="E100" s="378" t="n">
        <f aca="false">+VLOOKUP($D100,PREUS!$B$1:$F$589,3,FALSE())</f>
        <v>22.39</v>
      </c>
      <c r="F100" s="378" t="str">
        <f aca="false">+VLOOKUP($D100,PREUS!$B$1:$F$589,4,FALSE())</f>
        <v>m3</v>
      </c>
      <c r="G100" s="406" t="n">
        <v>0.15</v>
      </c>
      <c r="H100" s="404" t="n">
        <f aca="false">E100*G100</f>
        <v>3.3585</v>
      </c>
      <c r="I100" s="370"/>
    </row>
    <row r="101" customFormat="false" ht="13.8" hidden="false" customHeight="false" outlineLevel="0" collapsed="false">
      <c r="A101" s="329"/>
      <c r="B101" s="368"/>
      <c r="C101" s="368"/>
      <c r="D101" s="286" t="s">
        <v>1011</v>
      </c>
      <c r="E101" s="378" t="n">
        <f aca="false">+VLOOKUP($D101,PREUS!$B$1:$F$589,3,FALSE())</f>
        <v>3.92</v>
      </c>
      <c r="F101" s="378" t="str">
        <f aca="false">+VLOOKUP($D101,PREUS!$B$1:$F$589,4,FALSE())</f>
        <v>h</v>
      </c>
      <c r="G101" s="406" t="n">
        <v>0.341</v>
      </c>
      <c r="H101" s="404" t="n">
        <f aca="false">E101*G101</f>
        <v>1.33672</v>
      </c>
      <c r="I101" s="370"/>
    </row>
    <row r="102" customFormat="false" ht="13.8" hidden="false" customHeight="false" outlineLevel="0" collapsed="false">
      <c r="A102" s="329"/>
      <c r="B102" s="323"/>
      <c r="C102" s="323"/>
      <c r="D102" s="286" t="s">
        <v>986</v>
      </c>
      <c r="E102" s="378" t="n">
        <f aca="false">+VLOOKUP($D102,PREUS!$B$1:$F$589,3,FALSE())</f>
        <v>25.8</v>
      </c>
      <c r="F102" s="378" t="str">
        <f aca="false">+VLOOKUP($D102,PREUS!$B$1:$F$589,4,FALSE())</f>
        <v>h</v>
      </c>
      <c r="G102" s="406" t="n">
        <v>0.4</v>
      </c>
      <c r="H102" s="404" t="n">
        <f aca="false">E102*G102</f>
        <v>10.32</v>
      </c>
    </row>
    <row r="103" customFormat="false" ht="13.8" hidden="false" customHeight="false" outlineLevel="0" collapsed="false">
      <c r="B103" s="323"/>
      <c r="C103" s="323"/>
      <c r="D103" s="286" t="s">
        <v>987</v>
      </c>
      <c r="E103" s="379" t="n">
        <f aca="false">SUM(H100:H102)</f>
        <v>15.01522</v>
      </c>
      <c r="F103" s="403" t="s">
        <v>988</v>
      </c>
      <c r="G103" s="405" t="n">
        <v>0.02</v>
      </c>
      <c r="H103" s="404" t="n">
        <f aca="false">E103*G103</f>
        <v>0.3003044</v>
      </c>
    </row>
    <row r="104" s="277" customFormat="true" ht="13.8" hidden="false" customHeight="false" outlineLevel="0" collapsed="false">
      <c r="A104" s="354"/>
      <c r="B104" s="355"/>
      <c r="C104" s="355"/>
      <c r="D104" s="351"/>
      <c r="E104" s="352"/>
      <c r="F104" s="352"/>
      <c r="G104" s="352"/>
      <c r="H104" s="358"/>
      <c r="I104" s="279"/>
      <c r="M104" s="0"/>
    </row>
    <row r="105" customFormat="false" ht="13.8" hidden="false" customHeight="false" outlineLevel="0" collapsed="false">
      <c r="A105" s="286" t="s">
        <v>135</v>
      </c>
      <c r="B105" s="337"/>
      <c r="C105" s="337" t="str">
        <f aca="false">+VLOOKUP($A105,BASEdades!$A$3:$AA$283,3,FALSE())</f>
        <v>m2</v>
      </c>
      <c r="D105" s="367" t="str">
        <f aca="false">+VLOOKUP($A105,BASEdades!$A$3:$AA$298,2,FALSE())</f>
        <v>Làmina separadora polietilè</v>
      </c>
      <c r="E105" s="338"/>
      <c r="F105" s="338"/>
      <c r="G105" s="338"/>
      <c r="H105" s="340" t="n">
        <f aca="false">+VLOOKUP($A105,BASEdades!$A$3:$AA$283,7,FALSE())</f>
        <v>2.3</v>
      </c>
      <c r="I105" s="340" t="e">
        <f aca="false">#REF!*H105</f>
        <v>#REF!</v>
      </c>
    </row>
    <row r="106" customFormat="false" ht="28.35" hidden="false" customHeight="false" outlineLevel="0" collapsed="false">
      <c r="A106" s="329"/>
      <c r="B106" s="368"/>
      <c r="C106" s="368"/>
      <c r="D106" s="353" t="str">
        <f aca="false">+VLOOKUP($A105,BASEdades!$A$3:$AA$283,4,FALSE())</f>
        <v>Làmina separadora de polietilè de 150 μm i 144 g/m2, col·locada no adherida</v>
      </c>
      <c r="E106" s="341"/>
      <c r="F106" s="341"/>
      <c r="G106" s="341"/>
      <c r="H106" s="344"/>
      <c r="I106" s="370"/>
    </row>
    <row r="107" customFormat="false" ht="14.9" hidden="false" customHeight="false" outlineLevel="0" collapsed="false">
      <c r="A107" s="329"/>
      <c r="B107" s="368"/>
      <c r="C107" s="368"/>
      <c r="D107" s="341" t="str">
        <f aca="false">+VLOOKUP($A105,BASEdades!$A$3:$AA$283,5,FALSE())</f>
        <v>.</v>
      </c>
      <c r="E107" s="341"/>
      <c r="F107" s="341"/>
      <c r="G107" s="341"/>
      <c r="H107" s="344"/>
      <c r="I107" s="370"/>
    </row>
    <row r="108" customFormat="false" ht="13.8" hidden="false" customHeight="false" outlineLevel="0" collapsed="false">
      <c r="A108" s="329"/>
      <c r="B108" s="368"/>
      <c r="C108" s="368"/>
      <c r="D108" s="286" t="s">
        <v>1013</v>
      </c>
      <c r="E108" s="378" t="n">
        <f aca="false">+VLOOKUP($D108,PREUS!$B$1:$F$589,3,FALSE())</f>
        <v>0.57</v>
      </c>
      <c r="F108" s="378" t="str">
        <f aca="false">+VLOOKUP($D108,PREUS!$B$1:$F$589,4,FALSE())</f>
        <v>m2</v>
      </c>
      <c r="G108" s="406" t="n">
        <v>1.15</v>
      </c>
      <c r="H108" s="404" t="n">
        <f aca="false">E108*G108</f>
        <v>0.6555</v>
      </c>
      <c r="I108" s="370"/>
    </row>
    <row r="109" customFormat="false" ht="13.8" hidden="false" customHeight="false" outlineLevel="0" collapsed="false">
      <c r="A109" s="329"/>
      <c r="B109" s="368"/>
      <c r="C109" s="368"/>
      <c r="D109" s="286" t="s">
        <v>989</v>
      </c>
      <c r="E109" s="378" t="n">
        <f aca="false">+VLOOKUP($D109,PREUS!$B$1:$F$589,3,FALSE())</f>
        <v>30.79</v>
      </c>
      <c r="F109" s="378" t="str">
        <f aca="false">+VLOOKUP($D109,PREUS!$B$1:$F$589,4,FALSE())</f>
        <v>h</v>
      </c>
      <c r="G109" s="406" t="n">
        <v>0.0353</v>
      </c>
      <c r="H109" s="404" t="n">
        <f aca="false">E109*G109</f>
        <v>1.086887</v>
      </c>
      <c r="I109" s="370"/>
    </row>
    <row r="110" customFormat="false" ht="13.8" hidden="false" customHeight="false" outlineLevel="0" collapsed="false">
      <c r="A110" s="329"/>
      <c r="B110" s="323"/>
      <c r="C110" s="323"/>
      <c r="D110" s="286" t="s">
        <v>986</v>
      </c>
      <c r="E110" s="378" t="n">
        <f aca="false">+VLOOKUP($D110,PREUS!$B$1:$F$589,3,FALSE())</f>
        <v>25.8</v>
      </c>
      <c r="F110" s="378" t="str">
        <f aca="false">+VLOOKUP($D110,PREUS!$B$1:$F$589,4,FALSE())</f>
        <v>h</v>
      </c>
      <c r="G110" s="406" t="n">
        <v>0.02</v>
      </c>
      <c r="H110" s="404" t="n">
        <f aca="false">E110*G110</f>
        <v>0.516</v>
      </c>
    </row>
    <row r="111" customFormat="false" ht="13.8" hidden="false" customHeight="false" outlineLevel="0" collapsed="false">
      <c r="B111" s="323"/>
      <c r="C111" s="323"/>
      <c r="D111" s="286" t="s">
        <v>987</v>
      </c>
      <c r="E111" s="379" t="n">
        <f aca="false">SUM(H108:H110)</f>
        <v>2.258387</v>
      </c>
      <c r="F111" s="403" t="s">
        <v>988</v>
      </c>
      <c r="G111" s="405" t="n">
        <v>0.02</v>
      </c>
      <c r="H111" s="404" t="n">
        <f aca="false">E111*G111</f>
        <v>0.04516774</v>
      </c>
    </row>
    <row r="112" customFormat="false" ht="13.8" hidden="false" customHeight="false" outlineLevel="0" collapsed="false">
      <c r="A112" s="329"/>
      <c r="B112" s="323"/>
      <c r="C112" s="323"/>
      <c r="D112" s="350"/>
      <c r="E112" s="348"/>
      <c r="F112" s="348"/>
      <c r="G112" s="348"/>
      <c r="H112" s="349"/>
    </row>
    <row r="113" customFormat="false" ht="13.8" hidden="false" customHeight="false" outlineLevel="0" collapsed="false">
      <c r="A113" s="286" t="s">
        <v>117</v>
      </c>
      <c r="B113" s="337"/>
      <c r="C113" s="337" t="str">
        <f aca="false">+VLOOKUP($A113,BASEdades!$A$3:$AA$283,3,FALSE())</f>
        <v>m2</v>
      </c>
      <c r="D113" s="367" t="str">
        <f aca="false">+VLOOKUP($A113,BASEdades!$A$3:$AA$298,2,FALSE())</f>
        <v>Solera de formigó amb acabat raspatllat</v>
      </c>
      <c r="E113" s="338"/>
      <c r="F113" s="338"/>
      <c r="G113" s="338"/>
      <c r="H113" s="340" t="n">
        <f aca="false">+VLOOKUP($A113,BASEdades!$A$3:$AA$283,7,FALSE())</f>
        <v>35.12</v>
      </c>
      <c r="I113" s="340" t="e">
        <f aca="false">#REF!*H113</f>
        <v>#REF!</v>
      </c>
    </row>
    <row r="114" customFormat="false" ht="108.95" hidden="false" customHeight="false" outlineLevel="0" collapsed="false">
      <c r="A114" s="329"/>
      <c r="B114" s="368"/>
      <c r="C114" s="368"/>
      <c r="D114" s="353" t="str">
        <f aca="false">+VLOOKUP($A113,BASEdades!$A$3:$AA$283,4,FALSE())</f>
        <v>Paviment de formigó amb fibres de polipropilè monofilamentoses, amb aditiu, per a paviment continu i rampes, de 15 cm de gruix, tipus HAF-30/F/12/IIa+E, amb fibres sintètiques amb una quantia de 600 gr/m³, abocat des de camió o qualsevol altre mitjà alternatiu, mestrejat i acabat amb regle vibrat i posterior raspatllat per deixar la textura indicada per la DF. Inclou armadura interior tipus AP500SD amb malla electrosoldada ME 15x15 cm D:6-6 mm B500SD UNE-EN 10080</v>
      </c>
      <c r="E114" s="341"/>
      <c r="F114" s="341"/>
      <c r="G114" s="341"/>
      <c r="H114" s="344"/>
      <c r="I114" s="370"/>
    </row>
    <row r="115" customFormat="false" ht="14.9" hidden="false" customHeight="false" outlineLevel="0" collapsed="false">
      <c r="A115" s="329"/>
      <c r="B115" s="368"/>
      <c r="C115" s="368"/>
      <c r="D115" s="341" t="str">
        <f aca="false">+VLOOKUP($A113,BASEdades!$A$3:$AA$283,5,FALSE())</f>
        <v>.</v>
      </c>
      <c r="E115" s="341"/>
      <c r="F115" s="341"/>
      <c r="G115" s="341"/>
      <c r="H115" s="344"/>
      <c r="I115" s="370"/>
    </row>
    <row r="116" customFormat="false" ht="13.8" hidden="false" customHeight="false" outlineLevel="0" collapsed="false">
      <c r="A116" s="329"/>
      <c r="B116" s="368"/>
      <c r="C116" s="368"/>
      <c r="D116" s="286" t="s">
        <v>1014</v>
      </c>
      <c r="E116" s="378" t="n">
        <f aca="false">+VLOOKUP($D116,PREUS!$B$1:$F$589,3,FALSE())</f>
        <v>2.52</v>
      </c>
      <c r="F116" s="378" t="str">
        <f aca="false">+VLOOKUP($D116,PREUS!$B$1:$F$589,4,FALSE())</f>
        <v>m2</v>
      </c>
      <c r="G116" s="406" t="n">
        <v>1</v>
      </c>
      <c r="H116" s="404" t="n">
        <f aca="false">E116*G116</f>
        <v>2.52</v>
      </c>
      <c r="I116" s="370"/>
    </row>
    <row r="117" customFormat="false" ht="13.8" hidden="false" customHeight="false" outlineLevel="0" collapsed="false">
      <c r="A117" s="329"/>
      <c r="B117" s="368"/>
      <c r="C117" s="368"/>
      <c r="D117" s="286" t="s">
        <v>996</v>
      </c>
      <c r="E117" s="378" t="n">
        <f aca="false">+VLOOKUP($D117,PREUS!$B$1:$F$589,3,FALSE())</f>
        <v>92.2</v>
      </c>
      <c r="F117" s="378" t="str">
        <f aca="false">+VLOOKUP($D117,PREUS!$B$1:$F$589,4,FALSE())</f>
        <v>m3</v>
      </c>
      <c r="G117" s="406" t="n">
        <v>0.15</v>
      </c>
      <c r="H117" s="404" t="n">
        <f aca="false">E117*G117</f>
        <v>13.83</v>
      </c>
      <c r="I117" s="370"/>
    </row>
    <row r="118" customFormat="false" ht="13.8" hidden="false" customHeight="false" outlineLevel="0" collapsed="false">
      <c r="A118" s="329"/>
      <c r="B118" s="323"/>
      <c r="C118" s="323"/>
      <c r="D118" s="286" t="s">
        <v>1015</v>
      </c>
      <c r="E118" s="378" t="n">
        <f aca="false">+VLOOKUP($D118,PREUS!$B$1:$F$589,3,FALSE())</f>
        <v>5.23</v>
      </c>
      <c r="F118" s="378" t="str">
        <f aca="false">+VLOOKUP($D118,PREUS!$B$1:$F$589,4,FALSE())</f>
        <v>h</v>
      </c>
      <c r="G118" s="406" t="n">
        <v>0.105</v>
      </c>
      <c r="H118" s="404" t="n">
        <f aca="false">E118*G118</f>
        <v>0.54915</v>
      </c>
    </row>
    <row r="119" customFormat="false" ht="13.8" hidden="false" customHeight="false" outlineLevel="0" collapsed="false">
      <c r="A119" s="329"/>
      <c r="B119" s="323"/>
      <c r="C119" s="323"/>
      <c r="D119" s="286" t="s">
        <v>1016</v>
      </c>
      <c r="E119" s="378" t="n">
        <f aca="false">+VLOOKUP($D119,PREUS!$B$1:$F$589,3,FALSE())</f>
        <v>5.68</v>
      </c>
      <c r="F119" s="378" t="str">
        <f aca="false">+VLOOKUP($D119,PREUS!$B$1:$F$589,4,FALSE())</f>
        <v>h</v>
      </c>
      <c r="G119" s="406" t="n">
        <v>0.13</v>
      </c>
      <c r="H119" s="404" t="n">
        <f aca="false">E119*G119</f>
        <v>0.7384</v>
      </c>
    </row>
    <row r="120" customFormat="false" ht="13.8" hidden="false" customHeight="false" outlineLevel="0" collapsed="false">
      <c r="A120" s="329"/>
      <c r="B120" s="323"/>
      <c r="C120" s="323"/>
      <c r="D120" s="408" t="s">
        <v>989</v>
      </c>
      <c r="E120" s="378" t="n">
        <f aca="false">+VLOOKUP($D120,PREUS!$B$1:$F$589,3,FALSE())</f>
        <v>30.79</v>
      </c>
      <c r="F120" s="378" t="str">
        <f aca="false">+VLOOKUP($D120,PREUS!$B$1:$F$589,4,FALSE())</f>
        <v>h</v>
      </c>
      <c r="G120" s="406" t="n">
        <v>0.2</v>
      </c>
      <c r="H120" s="404" t="n">
        <f aca="false">E120*G120</f>
        <v>6.158</v>
      </c>
    </row>
    <row r="121" customFormat="false" ht="13.8" hidden="false" customHeight="false" outlineLevel="0" collapsed="false">
      <c r="A121" s="329"/>
      <c r="B121" s="323"/>
      <c r="C121" s="323"/>
      <c r="D121" s="286" t="s">
        <v>986</v>
      </c>
      <c r="E121" s="378" t="n">
        <f aca="false">+VLOOKUP($D121,PREUS!$B$1:$F$589,3,FALSE())</f>
        <v>25.8</v>
      </c>
      <c r="F121" s="378" t="str">
        <f aca="false">+VLOOKUP($D121,PREUS!$B$1:$F$589,4,FALSE())</f>
        <v>h</v>
      </c>
      <c r="G121" s="406" t="n">
        <v>0.2</v>
      </c>
      <c r="H121" s="404" t="n">
        <f aca="false">E121*G121</f>
        <v>5.16</v>
      </c>
    </row>
    <row r="122" customFormat="false" ht="13.8" hidden="false" customHeight="false" outlineLevel="0" collapsed="false">
      <c r="A122" s="329"/>
      <c r="B122" s="323"/>
      <c r="C122" s="323"/>
      <c r="D122" s="286" t="s">
        <v>991</v>
      </c>
      <c r="E122" s="378" t="n">
        <f aca="false">+VLOOKUP($D122,PREUS!$B$1:$F$589,3,FALSE())</f>
        <v>27.39</v>
      </c>
      <c r="F122" s="378" t="str">
        <f aca="false">+VLOOKUP($D122,PREUS!$B$1:$F$589,4,FALSE())</f>
        <v>h</v>
      </c>
      <c r="G122" s="406" t="n">
        <v>0.2</v>
      </c>
      <c r="H122" s="404" t="n">
        <f aca="false">E122*G122</f>
        <v>5.478</v>
      </c>
    </row>
    <row r="123" customFormat="false" ht="13.8" hidden="false" customHeight="false" outlineLevel="0" collapsed="false">
      <c r="B123" s="323"/>
      <c r="C123" s="323"/>
      <c r="D123" s="286" t="s">
        <v>987</v>
      </c>
      <c r="E123" s="379" t="n">
        <f aca="false">SUM(H116:H122)</f>
        <v>34.43355</v>
      </c>
      <c r="F123" s="403" t="s">
        <v>988</v>
      </c>
      <c r="G123" s="405" t="n">
        <v>0.02</v>
      </c>
      <c r="H123" s="404" t="n">
        <f aca="false">E123*G123</f>
        <v>0.688671</v>
      </c>
    </row>
    <row r="124" s="277" customFormat="true" ht="13.8" hidden="false" customHeight="false" outlineLevel="0" collapsed="false">
      <c r="A124" s="354"/>
      <c r="B124" s="355"/>
      <c r="C124" s="355"/>
      <c r="D124" s="351"/>
      <c r="E124" s="352"/>
      <c r="F124" s="352"/>
      <c r="G124" s="352"/>
      <c r="H124" s="358"/>
      <c r="I124" s="279"/>
      <c r="M124" s="0"/>
    </row>
    <row r="125" customFormat="false" ht="13.8" hidden="false" customHeight="false" outlineLevel="0" collapsed="false">
      <c r="A125" s="286" t="s">
        <v>154</v>
      </c>
      <c r="B125" s="337"/>
      <c r="C125" s="337" t="str">
        <f aca="false">+VLOOKUP($A125,BASEdades!$A$3:$AA$283,3,FALSE())</f>
        <v>m2</v>
      </c>
      <c r="D125" s="367" t="str">
        <f aca="false">+VLOOKUP($A125,BASEdades!$A$3:$AA$298,2,FALSE())</f>
        <v>Paviment exterior formigó abuixardat</v>
      </c>
      <c r="E125" s="338"/>
      <c r="F125" s="338"/>
      <c r="G125" s="338"/>
      <c r="H125" s="340" t="n">
        <f aca="false">+VLOOKUP($A125,BASEdades!$A$3:$AA$283,7,FALSE())</f>
        <v>52.02</v>
      </c>
      <c r="I125" s="340" t="e">
        <f aca="false">#REF!*H125</f>
        <v>#REF!</v>
      </c>
    </row>
    <row r="126" customFormat="false" ht="82.05" hidden="false" customHeight="false" outlineLevel="0" collapsed="false">
      <c r="A126" s="329"/>
      <c r="B126" s="368"/>
      <c r="C126" s="368"/>
      <c r="D126" s="353" t="str">
        <f aca="false">+VLOOKUP($A125,BASEdades!$A$3:$AA$283,4,FALSE())</f>
        <v>Paviment exterior de peces prefabricades de formigó abuixardat, monocapa, , 40x60x7 cm, color blanc, resistència a flexió T, càrrega de ruptura 4, resistència al desgast H, col·locades picat de pitxell amb morter de ciment M-5 de 3 cm de gruix, deixant entre elles un junt de separació d'entre 1,5 i 3 mm. Inclús reomplert de junts amb sorra silícia de mida 0/2 mm</v>
      </c>
      <c r="E126" s="341"/>
      <c r="F126" s="341"/>
      <c r="G126" s="341"/>
      <c r="H126" s="344"/>
      <c r="I126" s="370"/>
    </row>
    <row r="127" customFormat="false" ht="14.9" hidden="false" customHeight="false" outlineLevel="0" collapsed="false">
      <c r="A127" s="329"/>
      <c r="B127" s="368"/>
      <c r="C127" s="368"/>
      <c r="D127" s="341" t="str">
        <f aca="false">+VLOOKUP($A125,BASEdades!$A$3:$AA$283,5,FALSE())</f>
        <v>.</v>
      </c>
      <c r="E127" s="341"/>
      <c r="F127" s="341"/>
      <c r="G127" s="341"/>
      <c r="H127" s="344"/>
      <c r="I127" s="370"/>
    </row>
    <row r="128" customFormat="false" ht="13.8" hidden="false" customHeight="false" outlineLevel="0" collapsed="false">
      <c r="A128" s="329"/>
      <c r="B128" s="368"/>
      <c r="C128" s="368"/>
      <c r="D128" s="286" t="s">
        <v>1017</v>
      </c>
      <c r="E128" s="378" t="n">
        <f aca="false">+VLOOKUP($D128,PREUS!$B$1:$F$589,3,FALSE())</f>
        <v>115.3</v>
      </c>
      <c r="F128" s="378" t="str">
        <f aca="false">+VLOOKUP($D128,PREUS!$B$1:$F$589,4,FALSE())</f>
        <v>m3</v>
      </c>
      <c r="G128" s="406" t="n">
        <v>0.03</v>
      </c>
      <c r="H128" s="404" t="n">
        <f aca="false">E128*G128</f>
        <v>3.459</v>
      </c>
      <c r="I128" s="370"/>
    </row>
    <row r="129" customFormat="false" ht="13.8" hidden="false" customHeight="false" outlineLevel="0" collapsed="false">
      <c r="A129" s="329"/>
      <c r="B129" s="368"/>
      <c r="C129" s="368"/>
      <c r="D129" s="286" t="s">
        <v>1018</v>
      </c>
      <c r="E129" s="378" t="n">
        <f aca="false">+VLOOKUP($D129,PREUS!$B$1:$F$589,3,FALSE())</f>
        <v>0.35</v>
      </c>
      <c r="F129" s="378" t="str">
        <f aca="false">+VLOOKUP($D129,PREUS!$B$1:$F$589,4,FALSE())</f>
        <v>kg</v>
      </c>
      <c r="G129" s="406" t="n">
        <v>0.3</v>
      </c>
      <c r="H129" s="404" t="n">
        <f aca="false">E129*G129</f>
        <v>0.105</v>
      </c>
      <c r="I129" s="370"/>
    </row>
    <row r="130" customFormat="false" ht="13.8" hidden="false" customHeight="false" outlineLevel="0" collapsed="false">
      <c r="A130" s="329"/>
      <c r="B130" s="323"/>
      <c r="C130" s="323"/>
      <c r="D130" s="286" t="s">
        <v>1019</v>
      </c>
      <c r="E130" s="378" t="n">
        <f aca="false">+VLOOKUP($D130,PREUS!$B$1:$F$589,3,FALSE())</f>
        <v>18.35</v>
      </c>
      <c r="F130" s="378" t="str">
        <f aca="false">+VLOOKUP($D130,PREUS!$B$1:$F$589,4,FALSE())</f>
        <v>m2</v>
      </c>
      <c r="G130" s="406" t="n">
        <v>1</v>
      </c>
      <c r="H130" s="404" t="n">
        <f aca="false">E130*G130</f>
        <v>18.35</v>
      </c>
    </row>
    <row r="131" customFormat="false" ht="13.8" hidden="false" customHeight="false" outlineLevel="0" collapsed="false">
      <c r="A131" s="329"/>
      <c r="B131" s="323"/>
      <c r="C131" s="323"/>
      <c r="D131" s="286" t="s">
        <v>989</v>
      </c>
      <c r="E131" s="378" t="n">
        <f aca="false">+VLOOKUP($D131,PREUS!$B$1:$F$589,3,FALSE())</f>
        <v>30.79</v>
      </c>
      <c r="F131" s="378" t="str">
        <f aca="false">+VLOOKUP($D131,PREUS!$B$1:$F$589,4,FALSE())</f>
        <v>h</v>
      </c>
      <c r="G131" s="406" t="n">
        <v>0.5</v>
      </c>
      <c r="H131" s="404" t="n">
        <f aca="false">E131*G131</f>
        <v>15.395</v>
      </c>
    </row>
    <row r="132" customFormat="false" ht="13.8" hidden="false" customHeight="false" outlineLevel="0" collapsed="false">
      <c r="A132" s="329"/>
      <c r="B132" s="323"/>
      <c r="C132" s="323"/>
      <c r="D132" s="286" t="s">
        <v>991</v>
      </c>
      <c r="E132" s="378" t="n">
        <f aca="false">+VLOOKUP($D132,PREUS!$B$1:$F$589,3,FALSE())</f>
        <v>27.39</v>
      </c>
      <c r="F132" s="378" t="str">
        <f aca="false">+VLOOKUP($D132,PREUS!$B$1:$F$589,4,FALSE())</f>
        <v>h</v>
      </c>
      <c r="G132" s="406" t="n">
        <v>0.5</v>
      </c>
      <c r="H132" s="404" t="n">
        <f aca="false">E132*G132</f>
        <v>13.695</v>
      </c>
    </row>
    <row r="133" customFormat="false" ht="13.8" hidden="false" customHeight="false" outlineLevel="0" collapsed="false">
      <c r="B133" s="323"/>
      <c r="C133" s="323"/>
      <c r="D133" s="286" t="s">
        <v>987</v>
      </c>
      <c r="E133" s="379" t="n">
        <f aca="false">SUM(H128:H132)</f>
        <v>51.004</v>
      </c>
      <c r="F133" s="403" t="s">
        <v>988</v>
      </c>
      <c r="G133" s="405" t="n">
        <v>0.02</v>
      </c>
      <c r="H133" s="404" t="n">
        <f aca="false">E133*G133</f>
        <v>1.02008</v>
      </c>
    </row>
    <row r="134" customFormat="false" ht="13.8" hidden="false" customHeight="false" outlineLevel="0" collapsed="false">
      <c r="A134" s="329"/>
      <c r="B134" s="323"/>
      <c r="C134" s="323"/>
      <c r="D134" s="350"/>
      <c r="E134" s="348"/>
      <c r="F134" s="348"/>
      <c r="G134" s="348"/>
      <c r="H134" s="349"/>
    </row>
    <row r="135" customFormat="false" ht="13.8" hidden="false" customHeight="false" outlineLevel="0" collapsed="false">
      <c r="A135" s="286" t="s">
        <v>111</v>
      </c>
      <c r="B135" s="337"/>
      <c r="C135" s="337" t="str">
        <f aca="false">+VLOOKUP($A135,BASEdades!$A$3:$AA$283,3,FALSE())</f>
        <v>m2</v>
      </c>
      <c r="D135" s="367" t="str">
        <f aca="false">+VLOOKUP($A135,BASEdades!$A$3:$AA$298,2,FALSE())</f>
        <v>Mur de bloc a una cara vista</v>
      </c>
      <c r="E135" s="338"/>
      <c r="F135" s="338"/>
      <c r="G135" s="338"/>
      <c r="H135" s="340" t="n">
        <f aca="false">+VLOOKUP($A135,BASEdades!$A$3:$AA$283,7,FALSE())</f>
        <v>77</v>
      </c>
      <c r="I135" s="340" t="e">
        <f aca="false">#REF!*H135</f>
        <v>#REF!</v>
      </c>
    </row>
    <row r="136" customFormat="false" ht="48.75" hidden="false" customHeight="true" outlineLevel="0" collapsed="false">
      <c r="A136" s="329"/>
      <c r="B136" s="368"/>
      <c r="C136" s="368"/>
      <c r="D136" s="353" t="str">
        <f aca="false">+VLOOKUP($A135,BASEdades!$A$3:$AA$283,4,FALSE())</f>
        <v>Mur de contenció de terres de 20 cm d'espessor de fàbrica, de bloc de formigó tipus "H", de càrrega, per anar vist, color gris, 50x20x20 cm, categoria I, resistència normalitzada R10 (10 N/mm²), amb els junts verticals encadellats en sec i els junts horitzontals amb morter de ciment industrial, color gris, M-7,5, subministrat a granel, amb blocs de cantonada, reforçat amb formigó de replè, HA-25/B/12/XC2, preparat en obra, abocament amb mitjans manuals, i armadura d'acer UNE-EN 10080 B 400 S, amb una quantia aproximada de 20 kg/m². Inclús tubs de PVC per drenatge i filferro de lligar.
</v>
      </c>
      <c r="E136" s="341"/>
      <c r="F136" s="341"/>
      <c r="G136" s="341"/>
      <c r="H136" s="344"/>
      <c r="I136" s="370"/>
    </row>
    <row r="137" customFormat="false" ht="14.9" hidden="false" customHeight="false" outlineLevel="0" collapsed="false">
      <c r="A137" s="329"/>
      <c r="B137" s="368"/>
      <c r="C137" s="368"/>
      <c r="D137" s="341" t="str">
        <f aca="false">+VLOOKUP($A135,BASEdades!$A$3:$AA$283,5,FALSE())</f>
        <v>.</v>
      </c>
      <c r="E137" s="341"/>
      <c r="F137" s="341"/>
      <c r="G137" s="341"/>
      <c r="H137" s="344"/>
      <c r="I137" s="370"/>
    </row>
    <row r="138" customFormat="false" ht="13.8" hidden="false" customHeight="false" outlineLevel="0" collapsed="false">
      <c r="A138" s="329"/>
      <c r="B138" s="368"/>
      <c r="C138" s="368"/>
      <c r="D138" s="286" t="s">
        <v>1020</v>
      </c>
      <c r="E138" s="378" t="n">
        <f aca="false">+VLOOKUP($D138,PREUS!$B$1:$F$589,3,FALSE())</f>
        <v>0.91</v>
      </c>
      <c r="F138" s="378" t="str">
        <f aca="false">+VLOOKUP($D138,PREUS!$B$1:$F$589,4,FALSE())</f>
        <v>u</v>
      </c>
      <c r="G138" s="406" t="n">
        <v>12.128</v>
      </c>
      <c r="H138" s="404" t="n">
        <f aca="false">E138*G138</f>
        <v>11.03648</v>
      </c>
      <c r="I138" s="370"/>
    </row>
    <row r="139" customFormat="false" ht="13.8" hidden="false" customHeight="false" outlineLevel="0" collapsed="false">
      <c r="A139" s="329"/>
      <c r="B139" s="368"/>
      <c r="C139" s="368"/>
      <c r="D139" s="286" t="s">
        <v>1021</v>
      </c>
      <c r="E139" s="378" t="n">
        <f aca="false">+VLOOKUP($D139,PREUS!$B$1:$F$589,3,FALSE())</f>
        <v>1.5</v>
      </c>
      <c r="F139" s="378" t="str">
        <f aca="false">+VLOOKUP($D139,PREUS!$B$1:$F$589,4,FALSE())</f>
        <v>m3</v>
      </c>
      <c r="G139" s="406" t="n">
        <v>0.009</v>
      </c>
      <c r="H139" s="404" t="n">
        <f aca="false">E139*G139</f>
        <v>0.0135</v>
      </c>
      <c r="I139" s="370"/>
    </row>
    <row r="140" customFormat="false" ht="13.8" hidden="false" customHeight="false" outlineLevel="0" collapsed="false">
      <c r="A140" s="329"/>
      <c r="B140" s="368"/>
      <c r="C140" s="368"/>
      <c r="D140" s="286" t="s">
        <v>997</v>
      </c>
      <c r="E140" s="378" t="n">
        <f aca="false">+VLOOKUP($D140,PREUS!$B$1:$F$589,3,FALSE())</f>
        <v>1.6</v>
      </c>
      <c r="F140" s="378" t="str">
        <f aca="false">+VLOOKUP($D140,PREUS!$B$1:$F$589,4,FALSE())</f>
        <v>kg</v>
      </c>
      <c r="G140" s="406" t="n">
        <v>5</v>
      </c>
      <c r="H140" s="404" t="n">
        <f aca="false">E140*G140</f>
        <v>8</v>
      </c>
      <c r="I140" s="370"/>
    </row>
    <row r="141" customFormat="false" ht="13.8" hidden="false" customHeight="false" outlineLevel="0" collapsed="false">
      <c r="A141" s="329"/>
      <c r="B141" s="323"/>
      <c r="C141" s="323"/>
      <c r="D141" s="286" t="s">
        <v>1022</v>
      </c>
      <c r="E141" s="378" t="n">
        <f aca="false">+VLOOKUP($D141,PREUS!$B$1:$F$589,3,FALSE())</f>
        <v>50.2</v>
      </c>
      <c r="F141" s="378" t="str">
        <f aca="false">+VLOOKUP($D141,PREUS!$B$1:$F$589,4,FALSE())</f>
        <v>t</v>
      </c>
      <c r="G141" s="406" t="n">
        <v>0.03</v>
      </c>
      <c r="H141" s="404" t="n">
        <f aca="false">E141*G141</f>
        <v>1.506</v>
      </c>
    </row>
    <row r="142" customFormat="false" ht="13.8" hidden="false" customHeight="false" outlineLevel="0" collapsed="false">
      <c r="A142" s="329"/>
      <c r="B142" s="323"/>
      <c r="C142" s="323"/>
      <c r="D142" s="286" t="s">
        <v>1023</v>
      </c>
      <c r="E142" s="378" t="n">
        <f aca="false">+VLOOKUP($D142,PREUS!$B$1:$F$589,3,FALSE())</f>
        <v>3.45</v>
      </c>
      <c r="F142" s="378" t="str">
        <f aca="false">+VLOOKUP($D142,PREUS!$B$1:$F$589,4,FALSE())</f>
        <v>h</v>
      </c>
      <c r="G142" s="406" t="n">
        <v>0.1</v>
      </c>
      <c r="H142" s="404" t="n">
        <f aca="false">E142*G142</f>
        <v>0.345</v>
      </c>
    </row>
    <row r="143" customFormat="false" ht="13.8" hidden="false" customHeight="false" outlineLevel="0" collapsed="false">
      <c r="A143" s="329"/>
      <c r="B143" s="323"/>
      <c r="C143" s="323"/>
      <c r="D143" s="286" t="s">
        <v>1024</v>
      </c>
      <c r="E143" s="378" t="n">
        <f aca="false">+VLOOKUP($D143,PREUS!$B$1:$F$589,3,FALSE())</f>
        <v>1.94</v>
      </c>
      <c r="F143" s="378" t="str">
        <f aca="false">+VLOOKUP($D143,PREUS!$B$1:$F$589,4,FALSE())</f>
        <v>h</v>
      </c>
      <c r="G143" s="406" t="n">
        <v>0.1</v>
      </c>
      <c r="H143" s="404" t="n">
        <f aca="false">E143*G143</f>
        <v>0.194</v>
      </c>
    </row>
    <row r="144" customFormat="false" ht="13.8" hidden="false" customHeight="false" outlineLevel="0" collapsed="false">
      <c r="A144" s="329"/>
      <c r="B144" s="323"/>
      <c r="C144" s="323"/>
      <c r="D144" s="286" t="s">
        <v>998</v>
      </c>
      <c r="E144" s="378" t="n">
        <f aca="false">+VLOOKUP($D144,PREUS!$B$1:$F$589,3,FALSE())</f>
        <v>30.76</v>
      </c>
      <c r="F144" s="378" t="str">
        <f aca="false">+VLOOKUP($D144,PREUS!$B$1:$F$589,4,FALSE())</f>
        <v>h</v>
      </c>
      <c r="G144" s="406" t="n">
        <v>0.15</v>
      </c>
      <c r="H144" s="404" t="n">
        <f aca="false">E144*G144</f>
        <v>4.614</v>
      </c>
    </row>
    <row r="145" customFormat="false" ht="13.8" hidden="false" customHeight="false" outlineLevel="0" collapsed="false">
      <c r="A145" s="329"/>
      <c r="B145" s="323"/>
      <c r="C145" s="323"/>
      <c r="D145" s="286" t="s">
        <v>999</v>
      </c>
      <c r="E145" s="378" t="n">
        <f aca="false">+VLOOKUP($D145,PREUS!$B$1:$F$589,3,FALSE())</f>
        <v>27.36</v>
      </c>
      <c r="F145" s="378" t="str">
        <f aca="false">+VLOOKUP($D145,PREUS!$B$1:$F$589,4,FALSE())</f>
        <v>h</v>
      </c>
      <c r="G145" s="406" t="n">
        <v>0.15</v>
      </c>
      <c r="H145" s="404" t="n">
        <f aca="false">E145*G145</f>
        <v>4.104</v>
      </c>
    </row>
    <row r="146" customFormat="false" ht="13.8" hidden="false" customHeight="false" outlineLevel="0" collapsed="false">
      <c r="A146" s="329"/>
      <c r="B146" s="323"/>
      <c r="C146" s="323"/>
      <c r="D146" s="286" t="s">
        <v>989</v>
      </c>
      <c r="E146" s="378" t="n">
        <f aca="false">+VLOOKUP($D146,PREUS!$B$1:$F$589,3,FALSE())</f>
        <v>30.79</v>
      </c>
      <c r="F146" s="378" t="str">
        <f aca="false">+VLOOKUP($D146,PREUS!$B$1:$F$589,4,FALSE())</f>
        <v>h</v>
      </c>
      <c r="G146" s="406" t="n">
        <v>0.9</v>
      </c>
      <c r="H146" s="404" t="n">
        <f aca="false">E146*G146</f>
        <v>27.711</v>
      </c>
    </row>
    <row r="147" customFormat="false" ht="13.8" hidden="false" customHeight="false" outlineLevel="0" collapsed="false">
      <c r="A147" s="329"/>
      <c r="B147" s="323"/>
      <c r="C147" s="323"/>
      <c r="D147" s="286" t="s">
        <v>991</v>
      </c>
      <c r="E147" s="378" t="n">
        <f aca="false">+VLOOKUP($D147,PREUS!$B$1:$F$589,3,FALSE())</f>
        <v>27.39</v>
      </c>
      <c r="F147" s="378" t="str">
        <f aca="false">+VLOOKUP($D147,PREUS!$B$1:$F$589,4,FALSE())</f>
        <v>h</v>
      </c>
      <c r="G147" s="406" t="n">
        <v>0.656</v>
      </c>
      <c r="H147" s="404" t="n">
        <f aca="false">E147*G147</f>
        <v>17.96784</v>
      </c>
    </row>
    <row r="148" customFormat="false" ht="13.8" hidden="false" customHeight="false" outlineLevel="0" collapsed="false">
      <c r="B148" s="323"/>
      <c r="C148" s="323"/>
      <c r="D148" s="286" t="s">
        <v>987</v>
      </c>
      <c r="E148" s="379" t="n">
        <f aca="false">SUM(H138:H147)</f>
        <v>75.49182</v>
      </c>
      <c r="F148" s="403" t="s">
        <v>988</v>
      </c>
      <c r="G148" s="405" t="n">
        <v>0.02</v>
      </c>
      <c r="H148" s="404" t="n">
        <f aca="false">E148*G148</f>
        <v>1.5098364</v>
      </c>
    </row>
    <row r="149" s="277" customFormat="true" ht="13.8" hidden="false" customHeight="false" outlineLevel="0" collapsed="false">
      <c r="A149" s="354"/>
      <c r="B149" s="355"/>
      <c r="C149" s="355"/>
      <c r="D149" s="351"/>
      <c r="E149" s="352"/>
      <c r="F149" s="352"/>
      <c r="G149" s="352"/>
      <c r="H149" s="358"/>
      <c r="I149" s="279"/>
      <c r="M149" s="0"/>
    </row>
    <row r="150" customFormat="false" ht="13.8" hidden="false" customHeight="false" outlineLevel="0" collapsed="false">
      <c r="A150" s="286" t="s">
        <v>151</v>
      </c>
      <c r="B150" s="337"/>
      <c r="C150" s="337" t="str">
        <f aca="false">+VLOOKUP($A150,BASEdades!$A$3:$AA$283,3,FALSE())</f>
        <v>m2</v>
      </c>
      <c r="D150" s="367" t="str">
        <f aca="false">+VLOOKUP($A150,BASEdades!$A$3:$AA$298,2,FALSE())</f>
        <v>Revestiment amb morter acrílic i àrid projectat</v>
      </c>
      <c r="E150" s="338"/>
      <c r="F150" s="338"/>
      <c r="G150" s="338"/>
      <c r="H150" s="340" t="n">
        <f aca="false">+VLOOKUP($A150,BASEdades!$A$3:$AA$283,7,FALSE())</f>
        <v>52.3</v>
      </c>
      <c r="I150" s="340" t="e">
        <f aca="false">#REF!*H150</f>
        <v>#REF!</v>
      </c>
    </row>
    <row r="151" customFormat="false" ht="68.65" hidden="false" customHeight="false" outlineLevel="0" collapsed="false">
      <c r="A151" s="329"/>
      <c r="B151" s="368"/>
      <c r="C151" s="368"/>
      <c r="D151" s="353" t="str">
        <f aca="false">+VLOOKUP($A150,BASEdades!$A$3:$AA$283,4,FALSE())</f>
        <v>Revestiment decoratiu en façanes, amb morter suport, color a escollir, acabat granulat imitació pedra natural, amb un rendiment de 5 kg/m² i àrid de marbre, procedent de matxucatge, de granulometria compresa entre 5 i 9 mm, per a la realització de la capa d'acabat en revestiments continus.</v>
      </c>
      <c r="E151" s="341"/>
      <c r="F151" s="341"/>
      <c r="G151" s="341"/>
      <c r="H151" s="344"/>
      <c r="I151" s="370"/>
    </row>
    <row r="152" customFormat="false" ht="14.9" hidden="false" customHeight="false" outlineLevel="0" collapsed="false">
      <c r="A152" s="329"/>
      <c r="B152" s="368"/>
      <c r="C152" s="368"/>
      <c r="D152" s="341" t="str">
        <f aca="false">+VLOOKUP($A150,BASEdades!$A$3:$AA$283,5,FALSE())</f>
        <v>.</v>
      </c>
      <c r="E152" s="341"/>
      <c r="F152" s="341"/>
      <c r="G152" s="341"/>
      <c r="H152" s="344"/>
      <c r="I152" s="370"/>
    </row>
    <row r="153" customFormat="false" ht="13.8" hidden="false" customHeight="false" outlineLevel="0" collapsed="false">
      <c r="A153" s="329"/>
      <c r="B153" s="368"/>
      <c r="C153" s="368"/>
      <c r="D153" s="286" t="s">
        <v>1025</v>
      </c>
      <c r="E153" s="378" t="n">
        <f aca="false">+VLOOKUP($D153,PREUS!$B$1:$F$589,3,FALSE())</f>
        <v>5.15</v>
      </c>
      <c r="F153" s="378" t="str">
        <f aca="false">+VLOOKUP($D153,PREUS!$B$1:$F$589,4,FALSE())</f>
        <v>kg</v>
      </c>
      <c r="G153" s="406" t="n">
        <v>5</v>
      </c>
      <c r="H153" s="404" t="n">
        <f aca="false">E153*G153</f>
        <v>25.75</v>
      </c>
      <c r="I153" s="370"/>
    </row>
    <row r="154" customFormat="false" ht="13.8" hidden="false" customHeight="false" outlineLevel="0" collapsed="false">
      <c r="A154" s="329"/>
      <c r="B154" s="368"/>
      <c r="C154" s="368"/>
      <c r="D154" s="286" t="s">
        <v>1026</v>
      </c>
      <c r="E154" s="378" t="n">
        <f aca="false">+VLOOKUP($D154,PREUS!$B$1:$F$589,3,FALSE())</f>
        <v>0.37</v>
      </c>
      <c r="F154" s="378" t="str">
        <f aca="false">+VLOOKUP($D154,PREUS!$B$1:$F$589,4,FALSE())</f>
        <v>kg</v>
      </c>
      <c r="G154" s="406" t="n">
        <v>10</v>
      </c>
      <c r="H154" s="404" t="n">
        <f aca="false">E154*G154</f>
        <v>3.7</v>
      </c>
      <c r="I154" s="370"/>
    </row>
    <row r="155" customFormat="false" ht="13.8" hidden="false" customHeight="false" outlineLevel="0" collapsed="false">
      <c r="A155" s="329"/>
      <c r="B155" s="323"/>
      <c r="C155" s="323"/>
      <c r="D155" s="286" t="s">
        <v>989</v>
      </c>
      <c r="E155" s="378" t="n">
        <f aca="false">+VLOOKUP($D155,PREUS!$B$1:$F$589,3,FALSE())</f>
        <v>30.79</v>
      </c>
      <c r="F155" s="378" t="str">
        <f aca="false">+VLOOKUP($D155,PREUS!$B$1:$F$589,4,FALSE())</f>
        <v>h</v>
      </c>
      <c r="G155" s="406" t="n">
        <v>0.45</v>
      </c>
      <c r="H155" s="404" t="n">
        <f aca="false">E155*G155</f>
        <v>13.8555</v>
      </c>
    </row>
    <row r="156" customFormat="false" ht="13.8" hidden="false" customHeight="false" outlineLevel="0" collapsed="false">
      <c r="A156" s="329"/>
      <c r="B156" s="323"/>
      <c r="C156" s="323"/>
      <c r="D156" s="286" t="s">
        <v>991</v>
      </c>
      <c r="E156" s="378" t="n">
        <f aca="false">+VLOOKUP($D156,PREUS!$B$1:$F$589,3,FALSE())</f>
        <v>27.39</v>
      </c>
      <c r="F156" s="378" t="str">
        <f aca="false">+VLOOKUP($D156,PREUS!$B$1:$F$589,4,FALSE())</f>
        <v>h</v>
      </c>
      <c r="G156" s="406" t="n">
        <v>0.291</v>
      </c>
      <c r="H156" s="404" t="n">
        <f aca="false">E156*G156</f>
        <v>7.97049</v>
      </c>
    </row>
    <row r="157" customFormat="false" ht="13.8" hidden="false" customHeight="false" outlineLevel="0" collapsed="false">
      <c r="B157" s="323"/>
      <c r="C157" s="323"/>
      <c r="D157" s="286" t="s">
        <v>987</v>
      </c>
      <c r="E157" s="379" t="n">
        <f aca="false">SUM(H153:H156)</f>
        <v>51.27599</v>
      </c>
      <c r="F157" s="403" t="s">
        <v>988</v>
      </c>
      <c r="G157" s="405" t="n">
        <v>0.02</v>
      </c>
      <c r="H157" s="404" t="n">
        <f aca="false">E157*G157</f>
        <v>1.0255198</v>
      </c>
    </row>
    <row r="158" customFormat="false" ht="13.8" hidden="false" customHeight="false" outlineLevel="0" collapsed="false">
      <c r="A158" s="329"/>
      <c r="B158" s="323"/>
      <c r="C158" s="323"/>
      <c r="D158" s="350"/>
      <c r="E158" s="348"/>
      <c r="F158" s="348"/>
      <c r="G158" s="348"/>
      <c r="H158" s="349"/>
    </row>
    <row r="159" customFormat="false" ht="13.8" hidden="false" customHeight="false" outlineLevel="0" collapsed="false">
      <c r="A159" s="286" t="s">
        <v>711</v>
      </c>
      <c r="B159" s="337"/>
      <c r="C159" s="337" t="str">
        <f aca="false">+VLOOKUP($A159,BASEdades!$A$3:$AA$283,3,FALSE())</f>
        <v>m2</v>
      </c>
      <c r="D159" s="367" t="str">
        <f aca="false">+VLOOKUP($A159,BASEdades!$A$3:$AA$298,2,FALSE())</f>
        <v>Coberta sandwitx</v>
      </c>
      <c r="E159" s="338"/>
      <c r="F159" s="338"/>
      <c r="G159" s="338"/>
      <c r="H159" s="340" t="n">
        <f aca="false">+VLOOKUP($A159,BASEdades!$A$3:$AA$283,7,FALSE())</f>
        <v>74.21</v>
      </c>
      <c r="I159" s="340" t="e">
        <f aca="false">#REF!*H159</f>
        <v>#REF!</v>
      </c>
    </row>
    <row r="160" customFormat="false" ht="126" hidden="false" customHeight="true" outlineLevel="0" collapsed="false">
      <c r="A160" s="329"/>
      <c r="B160" s="368"/>
      <c r="C160" s="368"/>
      <c r="D160" s="353" t="str">
        <f aca="false">+VLOOKUP($A159,BASEdades!$A$3:$AA$283,4,FALSE())</f>
        <v>Coberta amb panell sandwitx de planxes d'acer amb aillament de poliuretà (PUR B2), reacció al foc BS2 d0, amb un gruix total de 120 mm, amb la cara exterior i la cara interior perfilada en lames, galvanitzat en calent i prelacat en ambdues cares, gruix de les planxes (ext/int) 0.5/0,5 mm, junt longitudinal encadellat, amb fixació oculta amb tapajunts. Inclou tapajunts i remats perimetrals, elements de carener i totes les trobades del panell amb altres elements. Tot complert i totalment acabat.</v>
      </c>
      <c r="E160" s="341"/>
      <c r="F160" s="341"/>
      <c r="G160" s="341"/>
      <c r="H160" s="344"/>
      <c r="I160" s="370"/>
    </row>
    <row r="161" customFormat="false" ht="14.9" hidden="false" customHeight="false" outlineLevel="0" collapsed="false">
      <c r="A161" s="329"/>
      <c r="B161" s="368"/>
      <c r="C161" s="368"/>
      <c r="D161" s="341" t="str">
        <f aca="false">+VLOOKUP($A159,BASEdades!$A$3:$AA$283,5,FALSE())</f>
        <v>.</v>
      </c>
      <c r="E161" s="341"/>
      <c r="F161" s="341"/>
      <c r="G161" s="341"/>
      <c r="H161" s="344"/>
      <c r="I161" s="370"/>
    </row>
    <row r="162" customFormat="false" ht="13.8" hidden="false" customHeight="false" outlineLevel="0" collapsed="false">
      <c r="A162" s="329"/>
      <c r="B162" s="368"/>
      <c r="C162" s="368"/>
      <c r="D162" s="286" t="s">
        <v>1027</v>
      </c>
      <c r="E162" s="378" t="n">
        <f aca="false">+VLOOKUP($D162,PREUS!$B$1:$F$589,3,FALSE())</f>
        <v>51.65</v>
      </c>
      <c r="F162" s="378" t="str">
        <f aca="false">+VLOOKUP($D162,PREUS!$B$1:$F$589,4,FALSE())</f>
        <v>m2</v>
      </c>
      <c r="G162" s="406" t="n">
        <v>1.13</v>
      </c>
      <c r="H162" s="404" t="n">
        <f aca="false">E162*G162</f>
        <v>58.3645</v>
      </c>
      <c r="I162" s="370"/>
    </row>
    <row r="163" customFormat="false" ht="13.8" hidden="false" customHeight="false" outlineLevel="0" collapsed="false">
      <c r="A163" s="329"/>
      <c r="B163" s="368"/>
      <c r="C163" s="368"/>
      <c r="D163" s="286" t="s">
        <v>1028</v>
      </c>
      <c r="E163" s="378" t="n">
        <f aca="false">+VLOOKUP($D163,PREUS!$B$1:$F$589,3,FALSE())</f>
        <v>14.55</v>
      </c>
      <c r="F163" s="378" t="str">
        <f aca="false">+VLOOKUP($D163,PREUS!$B$1:$F$589,4,FALSE())</f>
        <v>u</v>
      </c>
      <c r="G163" s="406" t="n">
        <v>0.216</v>
      </c>
      <c r="H163" s="404" t="n">
        <f aca="false">E163*G163</f>
        <v>3.1428</v>
      </c>
      <c r="I163" s="370"/>
    </row>
    <row r="164" customFormat="false" ht="13.8" hidden="false" customHeight="false" outlineLevel="0" collapsed="false">
      <c r="A164" s="329"/>
      <c r="B164" s="323"/>
      <c r="C164" s="323"/>
      <c r="D164" s="286" t="s">
        <v>1029</v>
      </c>
      <c r="E164" s="378" t="n">
        <f aca="false">+VLOOKUP($D164,PREUS!$B$1:$F$589,3,FALSE())</f>
        <v>31.79</v>
      </c>
      <c r="F164" s="378" t="str">
        <f aca="false">+VLOOKUP($D164,PREUS!$B$1:$F$589,4,FALSE())</f>
        <v>h</v>
      </c>
      <c r="G164" s="406" t="n">
        <v>0.19</v>
      </c>
      <c r="H164" s="404" t="n">
        <f aca="false">E164*G164</f>
        <v>6.0401</v>
      </c>
    </row>
    <row r="165" customFormat="false" ht="13.8" hidden="false" customHeight="false" outlineLevel="0" collapsed="false">
      <c r="A165" s="329"/>
      <c r="B165" s="323"/>
      <c r="C165" s="323"/>
      <c r="D165" s="286" t="s">
        <v>1030</v>
      </c>
      <c r="E165" s="378" t="n">
        <f aca="false">+VLOOKUP($D165,PREUS!$B$1:$F$589,3,FALSE())</f>
        <v>27.39</v>
      </c>
      <c r="F165" s="378" t="str">
        <f aca="false">+VLOOKUP($D165,PREUS!$B$1:$F$589,4,FALSE())</f>
        <v>h</v>
      </c>
      <c r="G165" s="406" t="n">
        <v>0.19</v>
      </c>
      <c r="H165" s="404" t="n">
        <f aca="false">E165*G165</f>
        <v>5.2041</v>
      </c>
    </row>
    <row r="166" customFormat="false" ht="13.8" hidden="false" customHeight="false" outlineLevel="0" collapsed="false">
      <c r="B166" s="323"/>
      <c r="C166" s="323"/>
      <c r="D166" s="286" t="s">
        <v>987</v>
      </c>
      <c r="E166" s="379" t="n">
        <f aca="false">SUM(H162:H165)</f>
        <v>72.7515</v>
      </c>
      <c r="F166" s="403" t="s">
        <v>988</v>
      </c>
      <c r="G166" s="405" t="n">
        <v>0.02</v>
      </c>
      <c r="H166" s="404" t="n">
        <f aca="false">E166*G166</f>
        <v>1.45503</v>
      </c>
    </row>
    <row r="167" customFormat="false" ht="13.8" hidden="false" customHeight="false" outlineLevel="0" collapsed="false">
      <c r="A167" s="329"/>
      <c r="B167" s="323"/>
      <c r="C167" s="323"/>
      <c r="D167" s="350"/>
      <c r="E167" s="348"/>
      <c r="F167" s="348"/>
      <c r="G167" s="348"/>
      <c r="H167" s="349"/>
    </row>
    <row r="168" customFormat="false" ht="13.8" hidden="false" customHeight="false" outlineLevel="0" collapsed="false">
      <c r="A168" s="286" t="s">
        <v>714</v>
      </c>
      <c r="B168" s="337"/>
      <c r="C168" s="337" t="str">
        <f aca="false">+VLOOKUP($A168,BASEdades!$A$3:$AA$283,3,FALSE())</f>
        <v>m2</v>
      </c>
      <c r="D168" s="367" t="str">
        <f aca="false">+VLOOKUP($A168,BASEdades!$A$3:$AA$298,2,FALSE())</f>
        <v>Canal de recollida d'aigua</v>
      </c>
      <c r="E168" s="338"/>
      <c r="F168" s="338"/>
      <c r="G168" s="338"/>
      <c r="H168" s="340" t="n">
        <f aca="false">+VLOOKUP($A168,BASEdades!$A$3:$AA$283,7,FALSE())</f>
        <v>38.24</v>
      </c>
      <c r="I168" s="340" t="e">
        <f aca="false">#REF!*H168</f>
        <v>#REF!</v>
      </c>
    </row>
    <row r="169" customFormat="false" ht="55.2" hidden="false" customHeight="false" outlineLevel="0" collapsed="false">
      <c r="A169" s="329"/>
      <c r="B169" s="368"/>
      <c r="C169" s="368"/>
      <c r="D169" s="353" t="str">
        <f aca="false">+VLOOKUP($A168,BASEdades!$A$3:$AA$283,4,FALSE())</f>
        <v>Canal exterior de secció rectangular de planxa d'acer galvanitzat i prelacat de 0,5 mm de gruix, de 120x120 mm de secció interior, col·locada amb peces especials fixada a coberta lleugera i connectada al baixant.</v>
      </c>
      <c r="E169" s="341"/>
      <c r="F169" s="341"/>
      <c r="G169" s="341"/>
      <c r="H169" s="344"/>
      <c r="I169" s="370"/>
    </row>
    <row r="170" customFormat="false" ht="14.9" hidden="false" customHeight="false" outlineLevel="0" collapsed="false">
      <c r="A170" s="329"/>
      <c r="B170" s="368"/>
      <c r="C170" s="368"/>
      <c r="D170" s="341" t="str">
        <f aca="false">+VLOOKUP($A168,BASEdades!$A$3:$AA$283,5,FALSE())</f>
        <v>.</v>
      </c>
      <c r="E170" s="341"/>
      <c r="F170" s="341"/>
      <c r="G170" s="341"/>
      <c r="H170" s="344"/>
      <c r="I170" s="370"/>
    </row>
    <row r="171" customFormat="false" ht="13.8" hidden="false" customHeight="false" outlineLevel="0" collapsed="false">
      <c r="A171" s="329"/>
      <c r="B171" s="368"/>
      <c r="C171" s="368"/>
      <c r="D171" s="416" t="s">
        <v>1031</v>
      </c>
      <c r="E171" s="378" t="n">
        <f aca="false">+VLOOKUP($D171,PREUS!$B$1:$F$589,3,FALSE())</f>
        <v>10.53</v>
      </c>
      <c r="F171" s="378" t="str">
        <f aca="false">+VLOOKUP($D171,PREUS!$B$1:$F$589,4,FALSE())</f>
        <v>m</v>
      </c>
      <c r="G171" s="406" t="n">
        <v>1.13</v>
      </c>
      <c r="H171" s="404" t="n">
        <f aca="false">E171*G171</f>
        <v>11.8989</v>
      </c>
      <c r="I171" s="370"/>
    </row>
    <row r="172" customFormat="false" ht="13.8" hidden="false" customHeight="false" outlineLevel="0" collapsed="false">
      <c r="A172" s="329"/>
      <c r="B172" s="368"/>
      <c r="C172" s="368"/>
      <c r="D172" s="286" t="s">
        <v>1032</v>
      </c>
      <c r="E172" s="378" t="n">
        <f aca="false">+VLOOKUP($D172,PREUS!$B$1:$F$589,3,FALSE())</f>
        <v>31.79</v>
      </c>
      <c r="F172" s="378" t="str">
        <f aca="false">+VLOOKUP($D172,PREUS!$B$1:$F$589,4,FALSE())</f>
        <v>h</v>
      </c>
      <c r="G172" s="406" t="n">
        <v>0.4325</v>
      </c>
      <c r="H172" s="404" t="n">
        <f aca="false">E172*G172</f>
        <v>13.749175</v>
      </c>
      <c r="I172" s="370"/>
    </row>
    <row r="173" customFormat="false" ht="13.8" hidden="false" customHeight="false" outlineLevel="0" collapsed="false">
      <c r="A173" s="329"/>
      <c r="B173" s="323"/>
      <c r="C173" s="323"/>
      <c r="D173" s="286" t="s">
        <v>1033</v>
      </c>
      <c r="E173" s="378" t="n">
        <f aca="false">+VLOOKUP($D173,PREUS!$B$1:$F$589,3,FALSE())</f>
        <v>27.36</v>
      </c>
      <c r="F173" s="378" t="str">
        <f aca="false">+VLOOKUP($D173,PREUS!$B$1:$F$589,4,FALSE())</f>
        <v>h</v>
      </c>
      <c r="G173" s="406" t="n">
        <v>0.4327</v>
      </c>
      <c r="H173" s="404" t="n">
        <f aca="false">E173*G173</f>
        <v>11.838672</v>
      </c>
    </row>
    <row r="174" customFormat="false" ht="13.8" hidden="false" customHeight="false" outlineLevel="0" collapsed="false">
      <c r="B174" s="323"/>
      <c r="C174" s="323"/>
      <c r="D174" s="286" t="s">
        <v>987</v>
      </c>
      <c r="E174" s="379" t="n">
        <f aca="false">SUM(H171:H173)</f>
        <v>37.486747</v>
      </c>
      <c r="F174" s="403" t="s">
        <v>988</v>
      </c>
      <c r="G174" s="405" t="n">
        <v>0.02</v>
      </c>
      <c r="H174" s="404" t="n">
        <f aca="false">E174*G174</f>
        <v>0.74973494</v>
      </c>
    </row>
    <row r="175" customFormat="false" ht="13.8" hidden="false" customHeight="false" outlineLevel="0" collapsed="false">
      <c r="A175" s="329"/>
      <c r="B175" s="323"/>
      <c r="C175" s="323"/>
      <c r="D175" s="350"/>
      <c r="E175" s="348"/>
      <c r="F175" s="348"/>
      <c r="G175" s="348"/>
      <c r="H175" s="349"/>
    </row>
    <row r="176" customFormat="false" ht="13.8" hidden="false" customHeight="false" outlineLevel="0" collapsed="false">
      <c r="A176" s="286" t="s">
        <v>164</v>
      </c>
      <c r="B176" s="337"/>
      <c r="C176" s="337" t="str">
        <f aca="false">+VLOOKUP($A176,BASEdades!$A$3:$AA$283,3,FALSE())</f>
        <v>ut</v>
      </c>
      <c r="D176" s="367" t="str">
        <f aca="false">+VLOOKUP($A176,BASEdades!$A$3:$AA$298,2,FALSE())</f>
        <v>Baixant de pluvials</v>
      </c>
      <c r="E176" s="338"/>
      <c r="F176" s="338"/>
      <c r="G176" s="338"/>
      <c r="H176" s="340" t="n">
        <f aca="false">+VLOOKUP($A176,BASEdades!$A$3:$AA$283,7,FALSE())</f>
        <v>17.64</v>
      </c>
      <c r="I176" s="340" t="e">
        <f aca="false">#REF!*H176</f>
        <v>#REF!</v>
      </c>
    </row>
    <row r="177" customFormat="false" ht="106.5" hidden="false" customHeight="true" outlineLevel="0" collapsed="false">
      <c r="A177" s="329"/>
      <c r="B177" s="368"/>
      <c r="C177" s="368"/>
      <c r="D177" s="353" t="str">
        <f aca="false">+VLOOKUP($A176,BASEdades!$A$3:$AA$283,4,FALSE())</f>
        <v>Baixant circular de PVC amb òxid de titani, de Ø 80 mm, color gris clar, per a recollida d'aigües, formada per peces preformades, amb sistema d'unió per endoll i enganxat mitjançant adhesiu, col·locades amb brides metàl·liques, instal·lada a l'exterior de l'edifici. Inclús líquid netejador, adhesiu per a tubs i accessoris de PVC, connexions, colzes i peces especials.
</v>
      </c>
      <c r="E177" s="341"/>
      <c r="F177" s="341"/>
      <c r="G177" s="341"/>
      <c r="H177" s="344"/>
      <c r="I177" s="370"/>
    </row>
    <row r="178" customFormat="false" ht="14.9" hidden="false" customHeight="false" outlineLevel="0" collapsed="false">
      <c r="A178" s="329"/>
      <c r="B178" s="368"/>
      <c r="C178" s="368"/>
      <c r="D178" s="341" t="str">
        <f aca="false">+VLOOKUP($A176,BASEdades!$A$3:$AA$283,5,FALSE())</f>
        <v>.</v>
      </c>
      <c r="E178" s="341"/>
      <c r="F178" s="341"/>
      <c r="G178" s="341"/>
      <c r="H178" s="344"/>
      <c r="I178" s="370"/>
    </row>
    <row r="179" customFormat="false" ht="13.8" hidden="false" customHeight="false" outlineLevel="0" collapsed="false">
      <c r="A179" s="329"/>
      <c r="B179" s="323"/>
      <c r="C179" s="323"/>
      <c r="D179" s="286" t="s">
        <v>1034</v>
      </c>
      <c r="E179" s="378" t="n">
        <f aca="false">+VLOOKUP($D179,PREUS!$B$1:$F$589,3,FALSE())</f>
        <v>24.67</v>
      </c>
      <c r="F179" s="378" t="str">
        <f aca="false">+VLOOKUP($D179,PREUS!$B$1:$F$589,4,FALSE())</f>
        <v>m</v>
      </c>
      <c r="G179" s="406" t="n">
        <v>1.13</v>
      </c>
      <c r="H179" s="404" t="n">
        <f aca="false">E179*G179</f>
        <v>27.8771</v>
      </c>
    </row>
    <row r="180" customFormat="false" ht="13.8" hidden="false" customHeight="false" outlineLevel="0" collapsed="false">
      <c r="A180" s="329"/>
      <c r="B180" s="368"/>
      <c r="C180" s="368"/>
      <c r="D180" s="286" t="s">
        <v>1032</v>
      </c>
      <c r="E180" s="378" t="n">
        <f aca="false">+VLOOKUP($D180,PREUS!$B$1:$F$589,3,FALSE())</f>
        <v>31.79</v>
      </c>
      <c r="F180" s="378" t="str">
        <f aca="false">+VLOOKUP($D180,PREUS!$B$1:$F$589,4,FALSE())</f>
        <v>h</v>
      </c>
      <c r="G180" s="406" t="n">
        <v>0.4325</v>
      </c>
      <c r="H180" s="404" t="n">
        <f aca="false">E180*G180</f>
        <v>13.749175</v>
      </c>
      <c r="I180" s="370"/>
    </row>
    <row r="181" customFormat="false" ht="13.8" hidden="false" customHeight="false" outlineLevel="0" collapsed="false">
      <c r="A181" s="329"/>
      <c r="B181" s="323"/>
      <c r="C181" s="323"/>
      <c r="D181" s="286" t="s">
        <v>1033</v>
      </c>
      <c r="E181" s="378" t="n">
        <f aca="false">+VLOOKUP($D181,PREUS!$B$1:$F$589,3,FALSE())</f>
        <v>27.36</v>
      </c>
      <c r="F181" s="378" t="str">
        <f aca="false">+VLOOKUP($D181,PREUS!$B$1:$F$589,4,FALSE())</f>
        <v>h</v>
      </c>
      <c r="G181" s="406" t="n">
        <v>0.4327</v>
      </c>
      <c r="H181" s="404" t="n">
        <f aca="false">E181*G181</f>
        <v>11.838672</v>
      </c>
    </row>
    <row r="182" customFormat="false" ht="13.8" hidden="false" customHeight="false" outlineLevel="0" collapsed="false">
      <c r="B182" s="323"/>
      <c r="C182" s="323"/>
      <c r="D182" s="286" t="s">
        <v>987</v>
      </c>
      <c r="E182" s="379" t="n">
        <f aca="false">SUM(H179:H181)</f>
        <v>53.464947</v>
      </c>
      <c r="F182" s="403" t="s">
        <v>988</v>
      </c>
      <c r="G182" s="405" t="n">
        <v>0.02</v>
      </c>
      <c r="H182" s="404" t="n">
        <f aca="false">E182*G182</f>
        <v>1.06929894</v>
      </c>
    </row>
    <row r="183" s="277" customFormat="true" ht="13.8" hidden="false" customHeight="false" outlineLevel="0" collapsed="false">
      <c r="A183" s="354"/>
      <c r="B183" s="355"/>
      <c r="C183" s="355"/>
      <c r="D183" s="351"/>
      <c r="E183" s="352"/>
      <c r="F183" s="352"/>
      <c r="G183" s="352"/>
      <c r="H183" s="358"/>
      <c r="I183" s="279"/>
      <c r="M183" s="0"/>
    </row>
    <row r="184" customFormat="false" ht="13.8" hidden="false" customHeight="false" outlineLevel="0" collapsed="false">
      <c r="A184" s="286" t="s">
        <v>689</v>
      </c>
      <c r="B184" s="375"/>
      <c r="C184" s="337" t="str">
        <f aca="false">+VLOOKUP($A184,BASEdades!$A$3:$AA$283,3,FALSE())</f>
        <v>h</v>
      </c>
      <c r="D184" s="367" t="str">
        <f aca="false">+VLOOKUP($A184,BASEdades!$A$3:$AA$298,2,FALSE())</f>
        <v>Modificació serralleria existent</v>
      </c>
      <c r="E184" s="338"/>
      <c r="F184" s="338"/>
      <c r="G184" s="338"/>
      <c r="H184" s="340" t="n">
        <f aca="false">+VLOOKUP($A184,BASEdades!$A$3:$AA$283,7,FALSE())</f>
        <v>69</v>
      </c>
      <c r="I184" s="340" t="e">
        <f aca="false">#REF!*H184</f>
        <v>#REF!</v>
      </c>
    </row>
    <row r="185" customFormat="false" ht="14.9" hidden="false" customHeight="false" outlineLevel="0" collapsed="false">
      <c r="A185" s="329"/>
      <c r="B185" s="368"/>
      <c r="C185" s="368"/>
      <c r="D185" s="353" t="str">
        <f aca="false">+VLOOKUP($A184,BASEdades!$A$3:$AA$283,4,FALSE())</f>
        <v>Jornada d'oficial de manyà.</v>
      </c>
      <c r="E185" s="341"/>
      <c r="F185" s="341"/>
      <c r="G185" s="341"/>
      <c r="H185" s="344"/>
      <c r="I185" s="370"/>
    </row>
    <row r="186" customFormat="false" ht="14.9" hidden="false" customHeight="false" outlineLevel="0" collapsed="false">
      <c r="A186" s="329"/>
      <c r="B186" s="368"/>
      <c r="C186" s="368"/>
      <c r="D186" s="341" t="str">
        <f aca="false">+VLOOKUP($A184,BASEdades!$A$3:$AA$283,5,FALSE())</f>
        <v>.</v>
      </c>
      <c r="E186" s="341"/>
      <c r="F186" s="341"/>
      <c r="G186" s="341"/>
      <c r="H186" s="344"/>
      <c r="I186" s="370"/>
    </row>
    <row r="187" customFormat="false" ht="13.8" hidden="false" customHeight="false" outlineLevel="0" collapsed="false">
      <c r="A187" s="329"/>
      <c r="B187" s="368"/>
      <c r="C187" s="368"/>
      <c r="D187" s="286" t="s">
        <v>1035</v>
      </c>
      <c r="E187" s="378" t="n">
        <f aca="false">+VLOOKUP($D187,PREUS!$B$1:$F$589,3,FALSE())</f>
        <v>31.27</v>
      </c>
      <c r="F187" s="378" t="str">
        <f aca="false">+VLOOKUP($D187,PREUS!$B$1:$F$589,4,FALSE())</f>
        <v>h</v>
      </c>
      <c r="G187" s="406" t="n">
        <v>1</v>
      </c>
      <c r="H187" s="404" t="n">
        <f aca="false">E187*G187</f>
        <v>31.27</v>
      </c>
      <c r="I187" s="370"/>
    </row>
    <row r="188" customFormat="false" ht="13.8" hidden="false" customHeight="false" outlineLevel="0" collapsed="false">
      <c r="A188" s="329"/>
      <c r="B188" s="323"/>
      <c r="C188" s="323"/>
      <c r="D188" s="286" t="s">
        <v>1036</v>
      </c>
      <c r="E188" s="378" t="n">
        <f aca="false">+VLOOKUP($D188,PREUS!$B$1:$F$589,3,FALSE())</f>
        <v>27.48</v>
      </c>
      <c r="F188" s="378" t="str">
        <f aca="false">+VLOOKUP($D188,PREUS!$B$1:$F$589,4,FALSE())</f>
        <v>h</v>
      </c>
      <c r="G188" s="406" t="n">
        <v>1</v>
      </c>
      <c r="H188" s="404" t="n">
        <f aca="false">E188*G188</f>
        <v>27.48</v>
      </c>
    </row>
    <row r="189" customFormat="false" ht="13.8" hidden="false" customHeight="false" outlineLevel="0" collapsed="false">
      <c r="A189" s="329"/>
      <c r="B189" s="323"/>
      <c r="C189" s="323"/>
      <c r="D189" s="286" t="s">
        <v>1037</v>
      </c>
      <c r="E189" s="378" t="n">
        <f aca="false">+VLOOKUP($D189,PREUS!$B$1:$F$589,3,FALSE())</f>
        <v>1.66</v>
      </c>
      <c r="F189" s="378" t="str">
        <f aca="false">+VLOOKUP($D189,PREUS!$B$1:$F$589,4,FALSE())</f>
        <v>kg</v>
      </c>
      <c r="G189" s="406" t="n">
        <v>5.36</v>
      </c>
      <c r="H189" s="404" t="n">
        <f aca="false">E189*G189</f>
        <v>8.8976</v>
      </c>
    </row>
    <row r="190" customFormat="false" ht="13.8" hidden="false" customHeight="false" outlineLevel="0" collapsed="false">
      <c r="B190" s="323"/>
      <c r="C190" s="323"/>
      <c r="D190" s="286" t="s">
        <v>987</v>
      </c>
      <c r="E190" s="379" t="n">
        <f aca="false">SUM(H187:H189)</f>
        <v>67.6476</v>
      </c>
      <c r="F190" s="403" t="s">
        <v>988</v>
      </c>
      <c r="G190" s="405" t="n">
        <v>0.02</v>
      </c>
      <c r="H190" s="404" t="n">
        <f aca="false">E190*G190</f>
        <v>1.352952</v>
      </c>
    </row>
    <row r="191" s="277" customFormat="true" ht="13.8" hidden="false" customHeight="false" outlineLevel="0" collapsed="false">
      <c r="A191" s="354"/>
      <c r="B191" s="361"/>
      <c r="C191" s="361"/>
      <c r="D191" s="362"/>
      <c r="E191" s="362"/>
      <c r="F191" s="362"/>
      <c r="G191" s="362"/>
      <c r="H191" s="359"/>
      <c r="I191" s="366"/>
      <c r="M191" s="0"/>
    </row>
    <row r="192" s="277" customFormat="true" ht="13.8" hidden="false" customHeight="false" outlineLevel="0" collapsed="false">
      <c r="A192" s="354"/>
      <c r="B192" s="355"/>
      <c r="C192" s="355"/>
      <c r="D192" s="351"/>
      <c r="E192" s="352"/>
      <c r="F192" s="352"/>
      <c r="G192" s="352"/>
      <c r="H192" s="358"/>
      <c r="I192" s="279"/>
      <c r="M192" s="0"/>
    </row>
    <row r="193" customFormat="false" ht="13.8" hidden="false" customHeight="false" outlineLevel="0" collapsed="false">
      <c r="A193" s="286" t="s">
        <v>717</v>
      </c>
      <c r="B193" s="337"/>
      <c r="C193" s="337" t="str">
        <f aca="false">+VLOOKUP($A193,BASEdades!$A$3:$AA$283,3,FALSE())</f>
        <v>m</v>
      </c>
      <c r="D193" s="367" t="str">
        <f aca="false">+VLOOKUP($A193,BASEdades!$A$3:$AA$298,2,FALSE())</f>
        <v>Mòdul de tanca metàl·lica de perfils buits</v>
      </c>
      <c r="E193" s="338"/>
      <c r="F193" s="338"/>
      <c r="G193" s="338"/>
      <c r="H193" s="340" t="n">
        <f aca="false">+VLOOKUP($A193,BASEdades!$A$3:$AA$283,7,FALSE())</f>
        <v>316.51</v>
      </c>
      <c r="I193" s="340" t="e">
        <f aca="false">#REF!*H193</f>
        <v>#REF!</v>
      </c>
    </row>
    <row r="194" customFormat="false" ht="108" hidden="false" customHeight="true" outlineLevel="0" collapsed="false">
      <c r="A194" s="329"/>
      <c r="B194" s="368"/>
      <c r="C194" s="368"/>
      <c r="D194" s="353" t="str">
        <f aca="false">+VLOOKUP($A193,BASEdades!$A$3:$AA$283,4,FALSE())</f>
        <v>Mòdul de clos metàl·lic,  format per perfils buits de secció circular, d'acer galvanitzat (Z 275), acabat lacat en color a definir per DF de 2 mm d'espessor, 60 mm de diàmetre i 2400 mm d'altura, amb una separació màxima de 80 mm entre els perfils, amb una pletina  metàl·lica horitzontal superior de 80x8mm i inferior de 100x8, fixada als perfils mitjançant soldadura. Peus d'anclatge de pletines fixats amb varil·les metàl·liques a solera de formigó existent. </v>
      </c>
      <c r="E194" s="341"/>
      <c r="F194" s="341"/>
      <c r="G194" s="341"/>
      <c r="H194" s="344"/>
      <c r="I194" s="370"/>
    </row>
    <row r="195" customFormat="false" ht="14.9" hidden="false" customHeight="false" outlineLevel="0" collapsed="false">
      <c r="A195" s="329"/>
      <c r="B195" s="368"/>
      <c r="C195" s="368"/>
      <c r="D195" s="341" t="str">
        <f aca="false">+VLOOKUP($A193,BASEdades!$A$3:$AA$283,5,FALSE())</f>
        <v>.mides: m</v>
      </c>
      <c r="E195" s="341"/>
      <c r="F195" s="341"/>
      <c r="G195" s="341"/>
      <c r="H195" s="344"/>
      <c r="I195" s="370"/>
    </row>
    <row r="196" customFormat="false" ht="14.9" hidden="false" customHeight="false" outlineLevel="0" collapsed="false">
      <c r="A196" s="329"/>
      <c r="B196" s="368"/>
      <c r="C196" s="368"/>
      <c r="D196" s="341" t="str">
        <f aca="false">+VLOOKUP($A193,BASEdades!$A$3:$AA$283,6,FALSE())</f>
        <v>.</v>
      </c>
      <c r="E196" s="348"/>
      <c r="F196" s="348"/>
      <c r="G196" s="348"/>
      <c r="H196" s="344"/>
      <c r="I196" s="370"/>
    </row>
    <row r="197" customFormat="false" ht="13.8" hidden="false" customHeight="false" outlineLevel="0" collapsed="false">
      <c r="A197" s="329"/>
      <c r="B197" s="368"/>
      <c r="C197" s="368"/>
      <c r="D197" s="286" t="s">
        <v>1035</v>
      </c>
      <c r="E197" s="378" t="n">
        <f aca="false">+VLOOKUP($D197,PREUS!$B$1:$F$589,3,FALSE())</f>
        <v>31.27</v>
      </c>
      <c r="F197" s="378" t="str">
        <f aca="false">+VLOOKUP($D197,PREUS!$B$1:$F$589,4,FALSE())</f>
        <v>h</v>
      </c>
      <c r="G197" s="406" t="n">
        <v>3.3915</v>
      </c>
      <c r="H197" s="404" t="n">
        <f aca="false">E197*G197</f>
        <v>106.052205</v>
      </c>
      <c r="I197" s="370"/>
    </row>
    <row r="198" customFormat="false" ht="13.8" hidden="false" customHeight="false" outlineLevel="0" collapsed="false">
      <c r="A198" s="329"/>
      <c r="B198" s="323"/>
      <c r="C198" s="323"/>
      <c r="D198" s="286" t="s">
        <v>1036</v>
      </c>
      <c r="E198" s="378" t="n">
        <f aca="false">+VLOOKUP($D198,PREUS!$B$1:$F$589,3,FALSE())</f>
        <v>27.48</v>
      </c>
      <c r="F198" s="378" t="str">
        <f aca="false">+VLOOKUP($D198,PREUS!$B$1:$F$589,4,FALSE())</f>
        <v>h</v>
      </c>
      <c r="G198" s="406" t="n">
        <v>3</v>
      </c>
      <c r="H198" s="404" t="n">
        <f aca="false">E198*G198</f>
        <v>82.44</v>
      </c>
    </row>
    <row r="199" customFormat="false" ht="13.8" hidden="false" customHeight="false" outlineLevel="0" collapsed="false">
      <c r="A199" s="329"/>
      <c r="B199" s="323"/>
      <c r="C199" s="323"/>
      <c r="D199" s="286" t="s">
        <v>1037</v>
      </c>
      <c r="E199" s="378" t="n">
        <f aca="false">+VLOOKUP($D199,PREUS!$B$1:$F$589,3,FALSE())</f>
        <v>1.66</v>
      </c>
      <c r="F199" s="378" t="str">
        <f aca="false">+VLOOKUP($D199,PREUS!$B$1:$F$589,4,FALSE())</f>
        <v>kg</v>
      </c>
      <c r="G199" s="406" t="n">
        <f aca="false">2.4*0.000364*8000*7*1.5</f>
        <v>73.3824</v>
      </c>
      <c r="H199" s="404" t="n">
        <f aca="false">E199*G199</f>
        <v>121.814784</v>
      </c>
    </row>
    <row r="200" customFormat="false" ht="13.8" hidden="false" customHeight="false" outlineLevel="0" collapsed="false">
      <c r="B200" s="323"/>
      <c r="C200" s="323"/>
      <c r="D200" s="286" t="s">
        <v>987</v>
      </c>
      <c r="E200" s="379" t="n">
        <f aca="false">SUM(H197:H199)</f>
        <v>310.306989</v>
      </c>
      <c r="F200" s="403" t="s">
        <v>988</v>
      </c>
      <c r="G200" s="405" t="n">
        <v>0.02</v>
      </c>
      <c r="H200" s="404" t="n">
        <f aca="false">E200*G200</f>
        <v>6.20613978</v>
      </c>
    </row>
    <row r="201" customFormat="false" ht="13.8" hidden="false" customHeight="false" outlineLevel="0" collapsed="false">
      <c r="B201" s="323"/>
      <c r="C201" s="323"/>
      <c r="D201" s="350"/>
      <c r="E201" s="348"/>
      <c r="F201" s="348"/>
      <c r="G201" s="348"/>
      <c r="H201" s="344"/>
      <c r="I201" s="345"/>
    </row>
    <row r="202" customFormat="false" ht="13.8" hidden="false" customHeight="false" outlineLevel="0" collapsed="false">
      <c r="A202" s="286" t="s">
        <v>720</v>
      </c>
      <c r="B202" s="337"/>
      <c r="C202" s="337" t="str">
        <f aca="false">+VLOOKUP($A202,BASEdades!$A$3:$AA$283,3,FALSE())</f>
        <v>ut</v>
      </c>
      <c r="D202" s="367" t="str">
        <f aca="false">+VLOOKUP($A202,BASEdades!$A$3:$AA$298,2,FALSE())</f>
        <v>Porta metàl·lica de perfils buits</v>
      </c>
      <c r="E202" s="338"/>
      <c r="F202" s="338"/>
      <c r="G202" s="338"/>
      <c r="H202" s="340" t="n">
        <f aca="false">+VLOOKUP($A202,BASEdades!$A$3:$AA$283,7,FALSE())</f>
        <v>682.82</v>
      </c>
      <c r="I202" s="340" t="e">
        <f aca="false">#REF!*H202</f>
        <v>#REF!</v>
      </c>
    </row>
    <row r="203" customFormat="false" ht="149.25" hidden="false" customHeight="false" outlineLevel="0" collapsed="false">
      <c r="A203" s="329"/>
      <c r="B203" s="368"/>
      <c r="C203" s="368"/>
      <c r="D203" s="353" t="str">
        <f aca="false">+VLOOKUP($A202,BASEdades!$A$3:$AA$283,4,FALSE())</f>
        <v>Porta de clos metàl·lic de fulla batent de dimensions 95x240cm, format per perfils buits de secció circular, d'acer galvanitzat (Z 275), acabat lacat en color a definir per DF de 2 mm d'espessor, 60 mm de diàmetre i 2400 mm d'altura, amb una separació màxima de 80 mm entre els perfils, amb una pletina  metàl·lica horitzontal superior de 80x8mm i inferior de 100x8, fixada als perfils mitjançant soldadura. Obertura manual. Muntants laterals de pletina en "U" d'acer galvanitzat de 100x100x8mm asseguts amb formigó HM-25/B/20/X0, armadura portant de la cancel·la i rebuts a obra, elements d'ancoratge, ferramentes de seguretat i tancament, acabat amb emprimació antioxidant i accessoris.</v>
      </c>
      <c r="E203" s="342"/>
      <c r="F203" s="342"/>
      <c r="G203" s="342"/>
      <c r="H203" s="344"/>
      <c r="I203" s="345"/>
    </row>
    <row r="204" customFormat="false" ht="14.9" hidden="false" customHeight="false" outlineLevel="0" collapsed="false">
      <c r="A204" s="329"/>
      <c r="B204" s="368"/>
      <c r="C204" s="368"/>
      <c r="D204" s="341" t="str">
        <f aca="false">+VLOOKUP($A202,BASEdades!$A$3:$AA$283,5,FALSE())</f>
        <v>.mides: m</v>
      </c>
      <c r="E204" s="342"/>
      <c r="F204" s="342"/>
      <c r="G204" s="342"/>
      <c r="H204" s="344"/>
      <c r="I204" s="345"/>
    </row>
    <row r="205" customFormat="false" ht="14.9" hidden="false" customHeight="false" outlineLevel="0" collapsed="false">
      <c r="A205" s="329"/>
      <c r="B205" s="368"/>
      <c r="C205" s="368"/>
      <c r="D205" s="341" t="str">
        <f aca="false">+VLOOKUP($A202,BASEdades!$A$3:$AA$283,6,FALSE())</f>
        <v>.</v>
      </c>
      <c r="E205" s="347"/>
      <c r="F205" s="347"/>
      <c r="G205" s="347"/>
      <c r="H205" s="349"/>
    </row>
    <row r="206" customFormat="false" ht="13.8" hidden="false" customHeight="false" outlineLevel="0" collapsed="false">
      <c r="A206" s="329"/>
      <c r="B206" s="368"/>
      <c r="C206" s="368"/>
      <c r="D206" s="286" t="s">
        <v>1035</v>
      </c>
      <c r="E206" s="378" t="n">
        <f aca="false">+VLOOKUP($D206,PREUS!$B$1:$F$589,3,FALSE())</f>
        <v>31.27</v>
      </c>
      <c r="F206" s="378" t="str">
        <f aca="false">+VLOOKUP($D206,PREUS!$B$1:$F$589,4,FALSE())</f>
        <v>h</v>
      </c>
      <c r="G206" s="406" t="n">
        <v>5</v>
      </c>
      <c r="H206" s="404" t="n">
        <f aca="false">E206*G206</f>
        <v>156.35</v>
      </c>
      <c r="I206" s="370"/>
    </row>
    <row r="207" customFormat="false" ht="13.8" hidden="false" customHeight="false" outlineLevel="0" collapsed="false">
      <c r="A207" s="329"/>
      <c r="B207" s="323"/>
      <c r="C207" s="323"/>
      <c r="D207" s="286" t="s">
        <v>1036</v>
      </c>
      <c r="E207" s="378" t="n">
        <f aca="false">+VLOOKUP($D207,PREUS!$B$1:$F$589,3,FALSE())</f>
        <v>27.48</v>
      </c>
      <c r="F207" s="378" t="str">
        <f aca="false">+VLOOKUP($D207,PREUS!$B$1:$F$589,4,FALSE())</f>
        <v>h</v>
      </c>
      <c r="G207" s="406" t="n">
        <v>5</v>
      </c>
      <c r="H207" s="404" t="n">
        <f aca="false">E207*G207</f>
        <v>137.4</v>
      </c>
    </row>
    <row r="208" customFormat="false" ht="13.8" hidden="false" customHeight="false" outlineLevel="0" collapsed="false">
      <c r="A208" s="329"/>
      <c r="B208" s="323"/>
      <c r="C208" s="323"/>
      <c r="D208" s="286" t="s">
        <v>1037</v>
      </c>
      <c r="E208" s="378" t="n">
        <f aca="false">+VLOOKUP($D208,PREUS!$B$1:$F$589,3,FALSE())</f>
        <v>1.66</v>
      </c>
      <c r="F208" s="378" t="str">
        <f aca="false">+VLOOKUP($D208,PREUS!$B$1:$F$589,4,FALSE())</f>
        <v>kg</v>
      </c>
      <c r="G208" s="406" t="n">
        <f aca="false">2.4*0.000364*8000*7*2.5</f>
        <v>122.304</v>
      </c>
      <c r="H208" s="404" t="n">
        <f aca="false">E208*G208</f>
        <v>203.02464</v>
      </c>
    </row>
    <row r="209" customFormat="false" ht="13.8" hidden="false" customHeight="false" outlineLevel="0" collapsed="false">
      <c r="A209" s="329"/>
      <c r="B209" s="323"/>
      <c r="C209" s="323"/>
      <c r="D209" s="286" t="s">
        <v>1038</v>
      </c>
      <c r="E209" s="378" t="n">
        <v>1</v>
      </c>
      <c r="F209" s="378" t="s">
        <v>334</v>
      </c>
      <c r="G209" s="406" t="n">
        <v>172.66</v>
      </c>
      <c r="H209" s="404" t="n">
        <f aca="false">E209*G209</f>
        <v>172.66</v>
      </c>
    </row>
    <row r="210" customFormat="false" ht="13.8" hidden="false" customHeight="false" outlineLevel="0" collapsed="false">
      <c r="B210" s="323"/>
      <c r="C210" s="323"/>
      <c r="D210" s="286" t="s">
        <v>987</v>
      </c>
      <c r="E210" s="379" t="n">
        <f aca="false">SUM(H206:H209)</f>
        <v>669.43464</v>
      </c>
      <c r="F210" s="403" t="s">
        <v>988</v>
      </c>
      <c r="G210" s="405" t="n">
        <v>0.02</v>
      </c>
      <c r="H210" s="404" t="n">
        <f aca="false">E210*G210</f>
        <v>13.3886928</v>
      </c>
    </row>
    <row r="211" s="277" customFormat="true" ht="13.8" hidden="false" customHeight="false" outlineLevel="0" collapsed="false">
      <c r="B211" s="355"/>
      <c r="C211" s="355"/>
      <c r="D211" s="351"/>
      <c r="E211" s="352"/>
      <c r="F211" s="352"/>
      <c r="G211" s="352"/>
      <c r="H211" s="359"/>
      <c r="I211" s="360"/>
      <c r="M211" s="0"/>
    </row>
    <row r="212" customFormat="false" ht="13.8" hidden="false" customHeight="false" outlineLevel="0" collapsed="false">
      <c r="A212" s="286" t="s">
        <v>158</v>
      </c>
      <c r="B212" s="337"/>
      <c r="C212" s="337" t="str">
        <f aca="false">+VLOOKUP($A212,BASEdades!$A$3:$AA$283,3,FALSE())</f>
        <v>ut</v>
      </c>
      <c r="D212" s="338" t="str">
        <f aca="false">+VLOOKUP($A212,BASEdades!$A$3:$AA$283,2,FALSE())</f>
        <v>Instal·lació elèctrica </v>
      </c>
      <c r="E212" s="338"/>
      <c r="F212" s="338"/>
      <c r="G212" s="338"/>
      <c r="H212" s="340" t="n">
        <f aca="false">+VLOOKUP($A212,BASEdades!$A$3:$AA$283,7,FALSE())</f>
        <v>923.85</v>
      </c>
      <c r="I212" s="340" t="e">
        <f aca="false">#REF!*H212</f>
        <v>#REF!</v>
      </c>
    </row>
    <row r="213" customFormat="false" ht="122.35" hidden="false" customHeight="false" outlineLevel="0" collapsed="false">
      <c r="B213" s="323"/>
      <c r="C213" s="323"/>
      <c r="D213" s="341" t="str">
        <f aca="false">+VLOOKUP($A212,BASEdades!$A$3:$AA$283,4,FALSE())</f>
        <v>Conjunt de treballs per al subministre, colocació i connexió de nou punt de llum al magatzem de cotxets, i preparació de connexió del porter electrònic.
Inclou aplic de paret tortuga per a exterior amb reixeta metàl·lica. Potència màxima 60W per a bombeta E27 (2 unitats) i sensor de presència.
Tota la instalació completa, amb tots els elements necessaris per al seu funcionament.
Inclou realització d'ajudes de paleteria de qualsevol tipus.</v>
      </c>
      <c r="E213" s="342"/>
      <c r="F213" s="342"/>
      <c r="G213" s="342"/>
      <c r="H213" s="344"/>
      <c r="I213" s="345"/>
    </row>
    <row r="214" customFormat="false" ht="13.8" hidden="false" customHeight="false" outlineLevel="0" collapsed="false">
      <c r="B214" s="323"/>
      <c r="C214" s="323"/>
      <c r="D214" s="346" t="str">
        <f aca="false">+VLOOKUP($A212,BASEdades!$A$3:$AA$283,5,FALSE())</f>
        <v>.</v>
      </c>
      <c r="E214" s="347"/>
      <c r="F214" s="347"/>
      <c r="G214" s="347"/>
      <c r="H214" s="349"/>
    </row>
    <row r="215" customFormat="false" ht="13.8" hidden="false" customHeight="false" outlineLevel="0" collapsed="false">
      <c r="B215" s="368"/>
      <c r="C215" s="368"/>
      <c r="D215" s="286" t="s">
        <v>1035</v>
      </c>
      <c r="E215" s="378" t="n">
        <f aca="false">+VLOOKUP($D215,PREUS!$B$1:$F$589,3,FALSE())</f>
        <v>31.27</v>
      </c>
      <c r="F215" s="378" t="str">
        <f aca="false">+VLOOKUP($D215,PREUS!$B$1:$F$589,4,FALSE())</f>
        <v>h</v>
      </c>
      <c r="G215" s="406" t="n">
        <v>5</v>
      </c>
      <c r="H215" s="404" t="n">
        <f aca="false">E215*G215</f>
        <v>156.35</v>
      </c>
      <c r="I215" s="370"/>
    </row>
    <row r="216" customFormat="false" ht="11.25" hidden="false" customHeight="true" outlineLevel="0" collapsed="false">
      <c r="A216" s="329"/>
      <c r="B216" s="323"/>
      <c r="C216" s="323"/>
      <c r="D216" s="286" t="s">
        <v>1039</v>
      </c>
      <c r="E216" s="378" t="n">
        <v>85.81</v>
      </c>
      <c r="F216" s="378" t="s">
        <v>334</v>
      </c>
      <c r="G216" s="406" t="n">
        <v>1</v>
      </c>
      <c r="H216" s="404" t="n">
        <f aca="false">E216*G216</f>
        <v>85.81</v>
      </c>
    </row>
    <row r="217" customFormat="false" ht="13.8" hidden="false" customHeight="false" outlineLevel="0" collapsed="false">
      <c r="A217" s="329"/>
      <c r="B217" s="323"/>
      <c r="C217" s="323"/>
      <c r="D217" s="408" t="s">
        <v>1040</v>
      </c>
      <c r="E217" s="378" t="n">
        <f aca="false">+VLOOKUP($D217,PREUS!$B$1:$F$589,3,FALSE())</f>
        <v>19.5</v>
      </c>
      <c r="F217" s="378" t="str">
        <f aca="false">+VLOOKUP($D217,PREUS!$B$1:$F$589,4,FALSE())</f>
        <v>u</v>
      </c>
      <c r="G217" s="406" t="n">
        <v>2</v>
      </c>
      <c r="H217" s="404" t="n">
        <f aca="false">E217*G217</f>
        <v>39</v>
      </c>
    </row>
    <row r="218" customFormat="false" ht="13.8" hidden="false" customHeight="false" outlineLevel="0" collapsed="false">
      <c r="A218" s="329"/>
      <c r="B218" s="323"/>
      <c r="C218" s="323"/>
      <c r="D218" s="417" t="s">
        <v>1041</v>
      </c>
      <c r="E218" s="378" t="n">
        <f aca="false">+VLOOKUP($D218,PREUS!$B$1:$F$589,3,FALSE())</f>
        <v>24.22</v>
      </c>
      <c r="F218" s="378" t="str">
        <f aca="false">+VLOOKUP($D218,PREUS!$B$1:$F$589,4,FALSE())</f>
        <v>u</v>
      </c>
      <c r="G218" s="406" t="n">
        <v>1</v>
      </c>
      <c r="H218" s="404" t="n">
        <f aca="false">E218*G218</f>
        <v>24.22</v>
      </c>
    </row>
    <row r="219" customFormat="false" ht="13.8" hidden="false" customHeight="false" outlineLevel="0" collapsed="false">
      <c r="A219" s="329"/>
      <c r="B219" s="323"/>
      <c r="C219" s="323"/>
      <c r="D219" s="286" t="s">
        <v>1042</v>
      </c>
      <c r="E219" s="378" t="n">
        <f aca="false">+VLOOKUP($D219,PREUS!$B$1:$F$589,3,FALSE())</f>
        <v>31.79</v>
      </c>
      <c r="F219" s="378" t="str">
        <f aca="false">+VLOOKUP($D219,PREUS!$B$1:$F$589,4,FALSE())</f>
        <v>h</v>
      </c>
      <c r="G219" s="406" t="n">
        <v>12</v>
      </c>
      <c r="H219" s="404" t="n">
        <f aca="false">E219*G219</f>
        <v>381.48</v>
      </c>
    </row>
    <row r="220" customFormat="false" ht="13.8" hidden="false" customHeight="false" outlineLevel="0" collapsed="false">
      <c r="A220" s="329"/>
      <c r="B220" s="323"/>
      <c r="C220" s="323"/>
      <c r="D220" s="286" t="s">
        <v>1043</v>
      </c>
      <c r="E220" s="378" t="n">
        <f aca="false">+VLOOKUP($D220,PREUS!$B$1:$F$589,3,FALSE())</f>
        <v>27.36</v>
      </c>
      <c r="F220" s="378" t="str">
        <f aca="false">+VLOOKUP($D220,PREUS!$B$1:$F$589,4,FALSE())</f>
        <v>h</v>
      </c>
      <c r="G220" s="406" t="n">
        <v>8</v>
      </c>
      <c r="H220" s="404" t="n">
        <f aca="false">E220*G220</f>
        <v>218.88</v>
      </c>
    </row>
    <row r="221" customFormat="false" ht="13.8" hidden="false" customHeight="false" outlineLevel="0" collapsed="false">
      <c r="B221" s="323"/>
      <c r="C221" s="323"/>
      <c r="D221" s="286" t="s">
        <v>987</v>
      </c>
      <c r="E221" s="379" t="n">
        <f aca="false">SUM(H215:H220)</f>
        <v>905.74</v>
      </c>
      <c r="F221" s="403" t="s">
        <v>988</v>
      </c>
      <c r="G221" s="405" t="n">
        <v>0.02</v>
      </c>
      <c r="H221" s="404" t="n">
        <f aca="false">E221*G221</f>
        <v>18.1148</v>
      </c>
    </row>
    <row r="222" s="277" customFormat="true" ht="13.8" hidden="false" customHeight="false" outlineLevel="0" collapsed="false">
      <c r="B222" s="355"/>
      <c r="C222" s="355"/>
      <c r="D222" s="351"/>
      <c r="E222" s="352"/>
      <c r="F222" s="352"/>
      <c r="G222" s="352"/>
      <c r="H222" s="359"/>
      <c r="I222" s="360"/>
      <c r="M222" s="0"/>
    </row>
    <row r="223" s="277" customFormat="true" ht="13.8" hidden="false" customHeight="false" outlineLevel="0" collapsed="false">
      <c r="B223" s="355"/>
      <c r="C223" s="355"/>
      <c r="D223" s="351"/>
      <c r="E223" s="352"/>
      <c r="F223" s="352"/>
      <c r="G223" s="352"/>
      <c r="H223" s="359"/>
      <c r="I223" s="360"/>
      <c r="M223" s="0"/>
    </row>
    <row r="224" customFormat="false" ht="13.8" hidden="false" customHeight="false" outlineLevel="0" collapsed="false">
      <c r="A224" s="286" t="s">
        <v>161</v>
      </c>
      <c r="B224" s="337"/>
      <c r="C224" s="337" t="str">
        <f aca="false">+VLOOKUP($A224,BASEdades!$A$3:$AA$283,3,FALSE())</f>
        <v>ut</v>
      </c>
      <c r="D224" s="338" t="str">
        <f aca="false">+VLOOKUP($A224,BASEdades!$A$3:$AA$283,2,FALSE())</f>
        <v>Porter electrònic</v>
      </c>
      <c r="E224" s="338"/>
      <c r="F224" s="338"/>
      <c r="G224" s="338"/>
      <c r="H224" s="340" t="n">
        <f aca="false">+VLOOKUP($A224,BASEdades!$A$3:$AA$283,7,FALSE())</f>
        <v>367.62</v>
      </c>
      <c r="I224" s="340" t="e">
        <f aca="false">#REF!*H224</f>
        <v>#REF!</v>
      </c>
    </row>
    <row r="225" customFormat="false" ht="75.75" hidden="false" customHeight="true" outlineLevel="0" collapsed="false">
      <c r="A225" s="329"/>
      <c r="B225" s="323"/>
      <c r="C225" s="323"/>
      <c r="D225" s="353" t="str">
        <f aca="false">+VLOOKUP($A224,BASEdades!$A$3:$AA$283,4,FALSE())</f>
        <v>Instal·lació i posta en servei d'equip de porter electrònic antivandàlic compost de: placa exterior del carrer antivandàlica amb polsador de trucada, font d'alimentació i telèfon. Inclús, obreportes, visera, cablejat i caixes.
</v>
      </c>
      <c r="E225" s="342"/>
      <c r="F225" s="342"/>
      <c r="G225" s="342"/>
      <c r="H225" s="344"/>
      <c r="I225" s="345"/>
    </row>
    <row r="226" customFormat="false" ht="13.8" hidden="false" customHeight="false" outlineLevel="0" collapsed="false">
      <c r="B226" s="323"/>
      <c r="C226" s="323"/>
      <c r="D226" s="346" t="str">
        <f aca="false">+VLOOKUP($A224,BASEdades!$A$3:$AA$283,5,FALSE())</f>
        <v>.</v>
      </c>
      <c r="E226" s="347"/>
      <c r="F226" s="347"/>
      <c r="G226" s="347"/>
      <c r="H226" s="349"/>
    </row>
    <row r="227" customFormat="false" ht="13.8" hidden="false" customHeight="false" outlineLevel="0" collapsed="false">
      <c r="A227" s="329"/>
      <c r="B227" s="368"/>
      <c r="C227" s="368"/>
      <c r="D227" s="286" t="s">
        <v>162</v>
      </c>
      <c r="E227" s="378" t="n">
        <f aca="false">+VLOOKUP($D227,PREUS!$B$1:$F$589,3,FALSE())</f>
        <v>141.08</v>
      </c>
      <c r="F227" s="378" t="str">
        <f aca="false">+VLOOKUP($D227,PREUS!$B$1:$F$589,4,FALSE())</f>
        <v>u</v>
      </c>
      <c r="G227" s="406" t="n">
        <v>1</v>
      </c>
      <c r="H227" s="404" t="n">
        <f aca="false">E227*G227</f>
        <v>141.08</v>
      </c>
      <c r="I227" s="370"/>
    </row>
    <row r="228" customFormat="false" ht="13.8" hidden="false" customHeight="false" outlineLevel="0" collapsed="false">
      <c r="A228" s="329"/>
      <c r="B228" s="323"/>
      <c r="C228" s="323"/>
      <c r="D228" s="286" t="s">
        <v>1039</v>
      </c>
      <c r="E228" s="378" t="n">
        <v>41.88</v>
      </c>
      <c r="F228" s="378" t="s">
        <v>334</v>
      </c>
      <c r="G228" s="406" t="n">
        <v>1</v>
      </c>
      <c r="H228" s="404" t="n">
        <f aca="false">E228*G228</f>
        <v>41.88</v>
      </c>
    </row>
    <row r="229" customFormat="false" ht="13.8" hidden="false" customHeight="false" outlineLevel="0" collapsed="false">
      <c r="A229" s="329"/>
      <c r="B229" s="323"/>
      <c r="C229" s="323"/>
      <c r="D229" s="286" t="s">
        <v>1042</v>
      </c>
      <c r="E229" s="378" t="n">
        <f aca="false">+VLOOKUP($D229,PREUS!$B$1:$F$589,3,FALSE())</f>
        <v>31.79</v>
      </c>
      <c r="F229" s="378" t="str">
        <f aca="false">+VLOOKUP($D229,PREUS!$B$1:$F$589,4,FALSE())</f>
        <v>h</v>
      </c>
      <c r="G229" s="406" t="n">
        <v>3</v>
      </c>
      <c r="H229" s="404" t="n">
        <f aca="false">E229*G229</f>
        <v>95.37</v>
      </c>
    </row>
    <row r="230" customFormat="false" ht="13.8" hidden="false" customHeight="false" outlineLevel="0" collapsed="false">
      <c r="A230" s="329"/>
      <c r="B230" s="323"/>
      <c r="C230" s="323"/>
      <c r="D230" s="286" t="s">
        <v>1043</v>
      </c>
      <c r="E230" s="378" t="n">
        <f aca="false">+VLOOKUP($D230,PREUS!$B$1:$F$589,3,FALSE())</f>
        <v>27.36</v>
      </c>
      <c r="F230" s="378" t="str">
        <f aca="false">+VLOOKUP($D230,PREUS!$B$1:$F$589,4,FALSE())</f>
        <v>h</v>
      </c>
      <c r="G230" s="406" t="n">
        <v>3</v>
      </c>
      <c r="H230" s="404" t="n">
        <f aca="false">E230*G230</f>
        <v>82.08</v>
      </c>
    </row>
    <row r="231" customFormat="false" ht="13.8" hidden="false" customHeight="false" outlineLevel="0" collapsed="false">
      <c r="B231" s="323"/>
      <c r="C231" s="323"/>
      <c r="D231" s="286" t="s">
        <v>987</v>
      </c>
      <c r="E231" s="379" t="n">
        <f aca="false">SUM(H227:H230)</f>
        <v>360.41</v>
      </c>
      <c r="F231" s="403" t="s">
        <v>988</v>
      </c>
      <c r="G231" s="405" t="n">
        <v>0.02</v>
      </c>
      <c r="H231" s="404" t="n">
        <f aca="false">E231*G231</f>
        <v>7.2082</v>
      </c>
    </row>
    <row r="232" s="277" customFormat="true" ht="13.8" hidden="false" customHeight="false" outlineLevel="0" collapsed="false">
      <c r="A232" s="354"/>
      <c r="B232" s="355"/>
      <c r="C232" s="355"/>
      <c r="D232" s="351"/>
      <c r="E232" s="357"/>
      <c r="F232" s="357"/>
      <c r="G232" s="357"/>
      <c r="H232" s="359"/>
      <c r="I232" s="360"/>
      <c r="M232" s="0"/>
    </row>
    <row r="233" customFormat="false" ht="13.8" hidden="false" customHeight="false" outlineLevel="0" collapsed="false">
      <c r="A233" s="286" t="s">
        <v>729</v>
      </c>
      <c r="B233" s="337"/>
      <c r="C233" s="337" t="str">
        <f aca="false">+VLOOKUP($A233,BASEdades!$A$3:$AA$283,3,FALSE())</f>
        <v>kg</v>
      </c>
      <c r="D233" s="338" t="str">
        <f aca="false">+VLOOKUP($A233,BASEdades!$A$3:$AA$283,2,FALSE())</f>
        <v>Acer en perfils laminats en calent</v>
      </c>
      <c r="E233" s="338"/>
      <c r="F233" s="338"/>
      <c r="G233" s="338"/>
      <c r="H233" s="340" t="n">
        <f aca="false">+VLOOKUP($A233,BASEdades!$A$3:$AA$283,7,FALSE())</f>
        <v>3.276</v>
      </c>
      <c r="I233" s="340" t="e">
        <f aca="false">#REF!*H233</f>
        <v>#REF!</v>
      </c>
    </row>
    <row r="234" customFormat="false" ht="68.65" hidden="false" customHeight="false" outlineLevel="0" collapsed="false">
      <c r="A234" s="329"/>
      <c r="B234" s="323"/>
      <c r="C234" s="323"/>
      <c r="D234" s="341" t="str">
        <f aca="false">+VLOOKUP($A233,BASEdades!$A$3:$AA$283,4,FALSE())</f>
        <v>Acer UNE-EN 10025 S275JR, en elements estructurals formats per peces simples de perfils laminats en calent de les sèries L, LD, T, rodó, quadrat, rectangular o platina, acabat amb emprimació antioxidant, col·locats amb unions cargolades en obra, a una altura de més de 3 m.</v>
      </c>
      <c r="E234" s="342"/>
      <c r="F234" s="342"/>
      <c r="G234" s="342"/>
      <c r="H234" s="344"/>
      <c r="I234" s="345"/>
    </row>
    <row r="235" customFormat="false" ht="13.8" hidden="false" customHeight="false" outlineLevel="0" collapsed="false">
      <c r="A235" s="329"/>
      <c r="B235" s="323"/>
      <c r="C235" s="323"/>
      <c r="D235" s="346" t="str">
        <f aca="false">+VLOOKUP($A233,BASEdades!$A$3:$AA$283,5,FALSE())</f>
        <v>.Mides : segons disseny</v>
      </c>
      <c r="E235" s="347"/>
      <c r="F235" s="347"/>
      <c r="G235" s="347"/>
      <c r="H235" s="349"/>
    </row>
    <row r="236" customFormat="false" ht="13.8" hidden="false" customHeight="false" outlineLevel="0" collapsed="false">
      <c r="A236" s="329"/>
      <c r="B236" s="323"/>
      <c r="C236" s="323"/>
      <c r="D236" s="346"/>
      <c r="E236" s="347"/>
      <c r="F236" s="347"/>
      <c r="G236" s="347"/>
      <c r="H236" s="349"/>
    </row>
    <row r="237" customFormat="false" ht="13.8" hidden="false" customHeight="false" outlineLevel="0" collapsed="false">
      <c r="A237" s="329"/>
      <c r="B237" s="323"/>
      <c r="C237" s="323"/>
      <c r="D237" s="286" t="s">
        <v>1044</v>
      </c>
      <c r="E237" s="378" t="n">
        <f aca="false">+VLOOKUP($D237,PREUS!$B$1:$F$589,3,FALSE())</f>
        <v>1.81</v>
      </c>
      <c r="F237" s="378" t="str">
        <f aca="false">+VLOOKUP($D237,PREUS!$B$1:$F$589,4,FALSE())</f>
        <v>kg</v>
      </c>
      <c r="G237" s="348" t="n">
        <v>1</v>
      </c>
      <c r="H237" s="404" t="n">
        <f aca="false">E237*G237</f>
        <v>1.81</v>
      </c>
    </row>
    <row r="238" customFormat="false" ht="13.8" hidden="false" customHeight="false" outlineLevel="0" collapsed="false">
      <c r="A238" s="329"/>
      <c r="B238" s="323"/>
      <c r="C238" s="323"/>
      <c r="D238" s="286" t="s">
        <v>1001</v>
      </c>
      <c r="E238" s="378" t="n">
        <f aca="false">+VLOOKUP($D238,PREUS!$B$1:$F$589,3,FALSE())</f>
        <v>3.42</v>
      </c>
      <c r="F238" s="378" t="str">
        <f aca="false">+VLOOKUP($D238,PREUS!$B$1:$F$589,4,FALSE())</f>
        <v>h</v>
      </c>
      <c r="G238" s="348" t="n">
        <v>0.022</v>
      </c>
      <c r="H238" s="404" t="n">
        <f aca="false">E238*G238</f>
        <v>0.07524</v>
      </c>
    </row>
    <row r="239" customFormat="false" ht="13.8" hidden="false" customHeight="false" outlineLevel="0" collapsed="false">
      <c r="A239" s="329"/>
      <c r="B239" s="323"/>
      <c r="C239" s="323"/>
      <c r="D239" s="286" t="s">
        <v>1002</v>
      </c>
      <c r="E239" s="378" t="n">
        <f aca="false">+VLOOKUP($D239,PREUS!$B$1:$F$589,3,FALSE())</f>
        <v>30.76</v>
      </c>
      <c r="F239" s="378" t="str">
        <f aca="false">+VLOOKUP($D239,PREUS!$B$1:$F$589,4,FALSE())</f>
        <v>h</v>
      </c>
      <c r="G239" s="348" t="n">
        <v>0.0227</v>
      </c>
      <c r="H239" s="404" t="n">
        <f aca="false">E239*G239</f>
        <v>0.698252</v>
      </c>
    </row>
    <row r="240" customFormat="false" ht="13.8" hidden="false" customHeight="false" outlineLevel="0" collapsed="false">
      <c r="A240" s="329"/>
      <c r="B240" s="323"/>
      <c r="C240" s="323"/>
      <c r="D240" s="286" t="s">
        <v>1003</v>
      </c>
      <c r="E240" s="378" t="n">
        <f aca="false">+VLOOKUP($D240,PREUS!$B$1:$F$589,3,FALSE())</f>
        <v>27.36</v>
      </c>
      <c r="F240" s="378" t="str">
        <f aca="false">+VLOOKUP($D240,PREUS!$B$1:$F$589,4,FALSE())</f>
        <v>h</v>
      </c>
      <c r="G240" s="348" t="n">
        <v>0.023</v>
      </c>
      <c r="H240" s="404" t="n">
        <f aca="false">E240*G240</f>
        <v>0.62928</v>
      </c>
    </row>
    <row r="241" customFormat="false" ht="13.8" hidden="false" customHeight="false" outlineLevel="0" collapsed="false">
      <c r="B241" s="323"/>
      <c r="C241" s="323"/>
      <c r="D241" s="286" t="s">
        <v>987</v>
      </c>
      <c r="E241" s="379" t="n">
        <f aca="false">SUM(H237:H240)</f>
        <v>3.212772</v>
      </c>
      <c r="F241" s="403" t="s">
        <v>988</v>
      </c>
      <c r="G241" s="405" t="n">
        <v>0.02</v>
      </c>
      <c r="H241" s="404" t="n">
        <f aca="false">E241*G241</f>
        <v>0.06425544</v>
      </c>
    </row>
    <row r="242" customFormat="false" ht="13.8" hidden="false" customHeight="false" outlineLevel="0" collapsed="false">
      <c r="A242" s="329"/>
      <c r="B242" s="323"/>
      <c r="C242" s="323"/>
      <c r="D242" s="350"/>
      <c r="E242" s="348"/>
      <c r="F242" s="348"/>
      <c r="G242" s="348"/>
      <c r="I242" s="286"/>
    </row>
    <row r="243" customFormat="false" ht="13.8" hidden="false" customHeight="false" outlineLevel="0" collapsed="false">
      <c r="A243" s="286" t="s">
        <v>620</v>
      </c>
      <c r="B243" s="337"/>
      <c r="C243" s="337" t="str">
        <f aca="false">+VLOOKUP($A243,BASEdades!$A$3:$AA$283,3,FALSE())</f>
        <v>ut</v>
      </c>
      <c r="D243" s="338" t="str">
        <f aca="false">+VLOOKUP($A243,BASEdades!$A$3:$AA$283,2,FALSE())</f>
        <v>Entramat de fusta per a façana</v>
      </c>
      <c r="E243" s="338"/>
      <c r="F243" s="338"/>
      <c r="G243" s="338"/>
      <c r="H243" s="340" t="n">
        <f aca="false">+VLOOKUP($A243,BASEdades!$A$3:$AA$283,7,FALSE())</f>
        <v>1075.82</v>
      </c>
      <c r="I243" s="340" t="e">
        <f aca="false">#REF!*H243</f>
        <v>#REF!</v>
      </c>
    </row>
    <row r="244" customFormat="false" ht="78" hidden="false" customHeight="true" outlineLevel="0" collapsed="false">
      <c r="A244" s="329"/>
      <c r="B244" s="323"/>
      <c r="C244" s="323"/>
      <c r="D244" s="341" t="str">
        <f aca="false">+VLOOKUP($A243,BASEdades!$A$3:$AA$283,4,FALSE())</f>
        <v>Subministrament i col.locació de mòdul de pèrgola de fusta de 300x200cm format per un allistonat de fusta de pi de flandes tractat de 44x93mm disposats horitzontalment  i acargolats a rastrells de fusta de 44x93mm. Inclou el muntatge i fixació del mòdul a estructura existent amb tots els elements necessaris. </v>
      </c>
      <c r="E244" s="342"/>
      <c r="F244" s="342"/>
      <c r="G244" s="342"/>
      <c r="H244" s="344"/>
      <c r="I244" s="345"/>
    </row>
    <row r="245" customFormat="false" ht="13.8" hidden="false" customHeight="false" outlineLevel="0" collapsed="false">
      <c r="A245" s="329"/>
      <c r="B245" s="323"/>
      <c r="C245" s="323"/>
      <c r="D245" s="346" t="str">
        <f aca="false">+VLOOKUP($A243,BASEdades!$A$3:$AA$283,5,FALSE())</f>
        <v>.Mides : 200x300cm</v>
      </c>
      <c r="E245" s="347"/>
      <c r="F245" s="347"/>
      <c r="G245" s="347"/>
      <c r="H245" s="349"/>
    </row>
    <row r="246" customFormat="false" ht="13.8" hidden="false" customHeight="false" outlineLevel="0" collapsed="false">
      <c r="A246" s="329"/>
      <c r="B246" s="323"/>
      <c r="C246" s="323"/>
      <c r="D246" s="350"/>
      <c r="E246" s="348"/>
      <c r="F246" s="348"/>
      <c r="G246" s="348"/>
      <c r="H246" s="349"/>
    </row>
    <row r="247" customFormat="false" ht="13.8" hidden="false" customHeight="false" outlineLevel="0" collapsed="false">
      <c r="B247" s="368"/>
      <c r="C247" s="368"/>
      <c r="D247" s="286" t="s">
        <v>1045</v>
      </c>
      <c r="E247" s="378" t="n">
        <f aca="false">+VLOOKUP($D247,PREUS!$B$1:$F$589,3,FALSE())</f>
        <v>5.198</v>
      </c>
      <c r="F247" s="378" t="str">
        <f aca="false">+VLOOKUP($D247,PREUS!$B$1:$F$589,4,FALSE())</f>
        <v>m</v>
      </c>
      <c r="G247" s="418" t="n">
        <v>44</v>
      </c>
      <c r="H247" s="419" t="n">
        <f aca="false">E247*G247</f>
        <v>228.712</v>
      </c>
    </row>
    <row r="248" customFormat="false" ht="13.8" hidden="false" customHeight="false" outlineLevel="0" collapsed="false">
      <c r="B248" s="368"/>
      <c r="C248" s="368"/>
      <c r="D248" s="286" t="s">
        <v>1046</v>
      </c>
      <c r="E248" s="378" t="n">
        <v>20</v>
      </c>
      <c r="F248" s="378" t="s">
        <v>725</v>
      </c>
      <c r="G248" s="418" t="n">
        <v>0.5</v>
      </c>
      <c r="H248" s="419" t="n">
        <f aca="false">E248*G248</f>
        <v>10</v>
      </c>
    </row>
    <row r="249" customFormat="false" ht="13.8" hidden="false" customHeight="false" outlineLevel="0" collapsed="false">
      <c r="B249" s="368"/>
      <c r="C249" s="368"/>
      <c r="D249" s="416" t="s">
        <v>1047</v>
      </c>
      <c r="E249" s="378" t="n">
        <f aca="false">+VLOOKUP($D249,PREUS!$B$1:$F$589,3,FALSE())</f>
        <v>30.76</v>
      </c>
      <c r="F249" s="378" t="str">
        <f aca="false">+VLOOKUP($D249,PREUS!$B$1:$F$589,4,FALSE())</f>
        <v>h</v>
      </c>
      <c r="G249" s="418" t="n">
        <v>14.4505</v>
      </c>
      <c r="H249" s="419" t="n">
        <f aca="false">E249*G249</f>
        <v>444.49738</v>
      </c>
    </row>
    <row r="250" customFormat="false" ht="13.8" hidden="false" customHeight="false" outlineLevel="0" collapsed="false">
      <c r="B250" s="368"/>
      <c r="C250" s="368"/>
      <c r="D250" s="416" t="s">
        <v>986</v>
      </c>
      <c r="E250" s="378" t="n">
        <f aca="false">+VLOOKUP($D250,PREUS!$B$1:$F$589,3,FALSE())</f>
        <v>25.8</v>
      </c>
      <c r="F250" s="378" t="str">
        <f aca="false">+VLOOKUP($D250,PREUS!$B$1:$F$589,4,FALSE())</f>
        <v>h</v>
      </c>
      <c r="G250" s="418" t="n">
        <v>14.4</v>
      </c>
      <c r="H250" s="419" t="n">
        <f aca="false">E250*G250</f>
        <v>371.52</v>
      </c>
    </row>
    <row r="251" customFormat="false" ht="13.8" hidden="false" customHeight="false" outlineLevel="0" collapsed="false">
      <c r="B251" s="368"/>
      <c r="C251" s="368"/>
      <c r="D251" s="286" t="s">
        <v>987</v>
      </c>
      <c r="E251" s="379" t="n">
        <f aca="false">SUM(H246:H250)</f>
        <v>1054.72938</v>
      </c>
      <c r="F251" s="403" t="s">
        <v>988</v>
      </c>
      <c r="G251" s="405" t="n">
        <v>0.02</v>
      </c>
      <c r="H251" s="419" t="n">
        <f aca="false">E251*G251</f>
        <v>21.0945876</v>
      </c>
    </row>
    <row r="252" customFormat="false" ht="13.8" hidden="false" customHeight="false" outlineLevel="0" collapsed="false">
      <c r="A252" s="329"/>
      <c r="B252" s="323"/>
      <c r="C252" s="323"/>
      <c r="D252" s="350"/>
      <c r="E252" s="348"/>
      <c r="F252" s="348"/>
      <c r="G252" s="348"/>
      <c r="H252" s="349"/>
    </row>
    <row r="253" customFormat="false" ht="13.8" hidden="false" customHeight="false" outlineLevel="0" collapsed="false">
      <c r="A253" s="286" t="s">
        <v>626</v>
      </c>
      <c r="B253" s="337"/>
      <c r="C253" s="337" t="str">
        <f aca="false">+VLOOKUP($A253,BASEdades!$A$3:$AA$283,3,FALSE())</f>
        <v>ut</v>
      </c>
      <c r="D253" s="338" t="str">
        <f aca="false">+VLOOKUP($A253,BASEdades!$A$3:$AA$283,2,FALSE())</f>
        <v>Entramat de fusta per a pèrgola</v>
      </c>
      <c r="E253" s="338"/>
      <c r="F253" s="338"/>
      <c r="G253" s="338"/>
      <c r="H253" s="340" t="n">
        <f aca="false">+VLOOKUP($A253,BASEdades!$A$3:$AA$283,7,FALSE())</f>
        <v>1213.16</v>
      </c>
      <c r="I253" s="340" t="e">
        <f aca="false">#REF!*H253</f>
        <v>#REF!</v>
      </c>
    </row>
    <row r="254" customFormat="false" ht="80.25" hidden="false" customHeight="true" outlineLevel="0" collapsed="false">
      <c r="A254" s="329"/>
      <c r="B254" s="323"/>
      <c r="C254" s="323"/>
      <c r="D254" s="341" t="str">
        <f aca="false">+VLOOKUP($A253,BASEdades!$A$3:$AA$283,4,FALSE())</f>
        <v>Subministrament i col.locació de mòdul de pèrgola de fusta de 300x300cm format per un allistonat de fusta de pi de flandes tractat de 44x93mm disposats verticalment  i acargolats a rastrells de fusta de 44x93mm. Inclou el muntatge i fixació del mòdul a estructura metàl·lica amb tots els elements necessaris. </v>
      </c>
      <c r="E254" s="342"/>
      <c r="F254" s="342"/>
      <c r="G254" s="342"/>
      <c r="H254" s="344"/>
      <c r="I254" s="345"/>
    </row>
    <row r="255" customFormat="false" ht="13.8" hidden="false" customHeight="false" outlineLevel="0" collapsed="false">
      <c r="A255" s="329"/>
      <c r="B255" s="323"/>
      <c r="C255" s="323"/>
      <c r="D255" s="346" t="str">
        <f aca="false">+VLOOKUP($A253,BASEdades!$A$3:$AA$283,5,FALSE())</f>
        <v>.Mides : 300x300cm</v>
      </c>
      <c r="E255" s="347"/>
      <c r="F255" s="347"/>
      <c r="G255" s="347"/>
      <c r="H255" s="349"/>
    </row>
    <row r="256" customFormat="false" ht="13.8" hidden="false" customHeight="false" outlineLevel="0" collapsed="false">
      <c r="A256" s="329"/>
      <c r="B256" s="323"/>
      <c r="C256" s="323"/>
      <c r="D256" s="350"/>
      <c r="E256" s="348"/>
      <c r="F256" s="348"/>
      <c r="G256" s="348"/>
      <c r="H256" s="349"/>
    </row>
    <row r="257" customFormat="false" ht="13.8" hidden="false" customHeight="false" outlineLevel="0" collapsed="false">
      <c r="B257" s="368"/>
      <c r="C257" s="368"/>
      <c r="D257" s="286" t="s">
        <v>1045</v>
      </c>
      <c r="E257" s="378" t="n">
        <f aca="false">+VLOOKUP($D257,PREUS!$B$1:$F$589,3,FALSE())</f>
        <v>5.198</v>
      </c>
      <c r="F257" s="378" t="str">
        <f aca="false">+VLOOKUP($D257,PREUS!$B$1:$F$589,4,FALSE())</f>
        <v>m</v>
      </c>
      <c r="G257" s="418" t="n">
        <v>72</v>
      </c>
      <c r="H257" s="419" t="n">
        <f aca="false">E257*G257</f>
        <v>374.256</v>
      </c>
    </row>
    <row r="258" customFormat="false" ht="13.8" hidden="false" customHeight="false" outlineLevel="0" collapsed="false">
      <c r="B258" s="368"/>
      <c r="C258" s="368"/>
      <c r="D258" s="286" t="s">
        <v>1046</v>
      </c>
      <c r="E258" s="378" t="n">
        <v>20</v>
      </c>
      <c r="F258" s="378" t="s">
        <v>725</v>
      </c>
      <c r="G258" s="418" t="n">
        <v>0.5</v>
      </c>
      <c r="H258" s="419" t="n">
        <f aca="false">E258*G258</f>
        <v>10</v>
      </c>
    </row>
    <row r="259" customFormat="false" ht="13.8" hidden="false" customHeight="false" outlineLevel="0" collapsed="false">
      <c r="B259" s="368"/>
      <c r="C259" s="368"/>
      <c r="D259" s="416" t="s">
        <v>1047</v>
      </c>
      <c r="E259" s="378" t="n">
        <f aca="false">+VLOOKUP($D259,PREUS!$B$1:$F$589,3,FALSE())</f>
        <v>30.76</v>
      </c>
      <c r="F259" s="378" t="str">
        <f aca="false">+VLOOKUP($D259,PREUS!$B$1:$F$589,4,FALSE())</f>
        <v>h</v>
      </c>
      <c r="G259" s="418" t="n">
        <v>14.4505</v>
      </c>
      <c r="H259" s="419" t="n">
        <f aca="false">E259*G259</f>
        <v>444.49738</v>
      </c>
    </row>
    <row r="260" customFormat="false" ht="13.8" hidden="false" customHeight="false" outlineLevel="0" collapsed="false">
      <c r="B260" s="368"/>
      <c r="C260" s="368"/>
      <c r="D260" s="416" t="s">
        <v>986</v>
      </c>
      <c r="E260" s="378" t="n">
        <f aca="false">+VLOOKUP($D260,PREUS!$B$1:$F$589,3,FALSE())</f>
        <v>25.8</v>
      </c>
      <c r="F260" s="378" t="str">
        <f aca="false">+VLOOKUP($D260,PREUS!$B$1:$F$589,4,FALSE())</f>
        <v>h</v>
      </c>
      <c r="G260" s="418" t="n">
        <v>14</v>
      </c>
      <c r="H260" s="419" t="n">
        <f aca="false">E260*G260</f>
        <v>361.2</v>
      </c>
    </row>
    <row r="261" customFormat="false" ht="13.8" hidden="false" customHeight="false" outlineLevel="0" collapsed="false">
      <c r="B261" s="368"/>
      <c r="C261" s="368"/>
      <c r="D261" s="286" t="s">
        <v>987</v>
      </c>
      <c r="E261" s="379" t="n">
        <f aca="false">SUM(H255:H260)</f>
        <v>1189.95338</v>
      </c>
      <c r="F261" s="403" t="s">
        <v>988</v>
      </c>
      <c r="G261" s="405" t="n">
        <v>0.02</v>
      </c>
      <c r="H261" s="419" t="n">
        <f aca="false">E261*G261</f>
        <v>23.7990676</v>
      </c>
    </row>
    <row r="262" customFormat="false" ht="13.8" hidden="false" customHeight="false" outlineLevel="0" collapsed="false">
      <c r="A262" s="329"/>
      <c r="B262" s="323"/>
      <c r="C262" s="323"/>
      <c r="D262" s="350"/>
      <c r="E262" s="348"/>
      <c r="F262" s="348"/>
      <c r="G262" s="348"/>
      <c r="H262" s="349"/>
    </row>
    <row r="263" customFormat="false" ht="13.8" hidden="false" customHeight="false" outlineLevel="0" collapsed="false">
      <c r="A263" s="286" t="s">
        <v>173</v>
      </c>
      <c r="B263" s="337"/>
      <c r="C263" s="337" t="str">
        <f aca="false">+VLOOKUP($A263,BASEdades!$A$3:$AA$283,3,FALSE())</f>
        <v>m</v>
      </c>
      <c r="D263" s="338" t="str">
        <f aca="false">+VLOOKUP($A263,BASEdades!$A$3:$AA$283,2,FALSE())</f>
        <v>Retirada de tanca de fusta existent</v>
      </c>
      <c r="E263" s="338"/>
      <c r="F263" s="338"/>
      <c r="G263" s="338"/>
      <c r="H263" s="340" t="n">
        <f aca="false">+VLOOKUP($A263,BASEdades!$A$3:$AA$283,7,FALSE())</f>
        <v>20</v>
      </c>
      <c r="I263" s="340" t="e">
        <f aca="false">#REF!*H263</f>
        <v>#REF!</v>
      </c>
    </row>
    <row r="264" customFormat="false" ht="41.75" hidden="false" customHeight="false" outlineLevel="0" collapsed="false">
      <c r="A264" s="329"/>
      <c r="B264" s="323"/>
      <c r="C264" s="323"/>
      <c r="D264" s="341" t="str">
        <f aca="false">+VLOOKUP($A263,BASEdades!$A$3:$AA$283,4,FALSE())</f>
        <v>Retirada de tanca de fusta de fins a 2 m d'alçària, com a màxim, sense enderroc de daus de formigó, a mà i càrrega manual i mecànica de runa sobre camió o contenidor.</v>
      </c>
      <c r="E264" s="342"/>
      <c r="F264" s="342"/>
      <c r="G264" s="342"/>
      <c r="H264" s="344"/>
      <c r="I264" s="345"/>
    </row>
    <row r="265" customFormat="false" ht="13.8" hidden="false" customHeight="false" outlineLevel="0" collapsed="false">
      <c r="A265" s="329"/>
      <c r="B265" s="323"/>
      <c r="C265" s="323"/>
      <c r="D265" s="346" t="str">
        <f aca="false">+VLOOKUP($A263,BASEdades!$A$3:$AA$283,5,FALSE())</f>
        <v>.Mides de la tanca: mòduls 1.5m x 1m </v>
      </c>
      <c r="E265" s="347"/>
      <c r="F265" s="347"/>
      <c r="G265" s="347"/>
      <c r="H265" s="349"/>
    </row>
    <row r="266" customFormat="false" ht="13.8" hidden="false" customHeight="false" outlineLevel="0" collapsed="false">
      <c r="A266" s="329"/>
      <c r="B266" s="323"/>
      <c r="C266" s="323"/>
      <c r="D266" s="286" t="s">
        <v>986</v>
      </c>
      <c r="E266" s="378" t="n">
        <f aca="false">+VLOOKUP($D266,PREUS!$B$1:$F$589,3,FALSE())</f>
        <v>25.8</v>
      </c>
      <c r="F266" s="378" t="str">
        <f aca="false">+VLOOKUP($D266,PREUS!$B$1:$F$589,4,FALSE())</f>
        <v>h</v>
      </c>
      <c r="G266" s="403" t="n">
        <v>0.76</v>
      </c>
      <c r="H266" s="404" t="n">
        <f aca="false">E266*G266</f>
        <v>19.608</v>
      </c>
    </row>
    <row r="267" customFormat="false" ht="13.8" hidden="false" customHeight="false" outlineLevel="0" collapsed="false">
      <c r="B267" s="323"/>
      <c r="C267" s="323"/>
      <c r="D267" s="286" t="s">
        <v>987</v>
      </c>
      <c r="E267" s="379" t="n">
        <f aca="false">SUM(H266)</f>
        <v>19.608</v>
      </c>
      <c r="F267" s="403" t="s">
        <v>988</v>
      </c>
      <c r="G267" s="405" t="n">
        <v>0.02</v>
      </c>
      <c r="H267" s="404" t="n">
        <f aca="false">E267*G267</f>
        <v>0.39216</v>
      </c>
    </row>
    <row r="268" customFormat="false" ht="13.8" hidden="false" customHeight="false" outlineLevel="0" collapsed="false">
      <c r="D268" s="350"/>
    </row>
    <row r="269" customFormat="false" ht="13.8" hidden="false" customHeight="false" outlineLevel="0" collapsed="false">
      <c r="A269" s="286" t="s">
        <v>179</v>
      </c>
      <c r="B269" s="337"/>
      <c r="C269" s="337" t="str">
        <f aca="false">+VLOOKUP($A269,BASEdades!$A$3:$AA$283,3,FALSE())</f>
        <v>ut</v>
      </c>
      <c r="D269" s="338" t="str">
        <f aca="false">+VLOOKUP($A269,BASEdades!$A$3:$AA$283,2,FALSE())</f>
        <v>Retirada joc existent</v>
      </c>
      <c r="E269" s="338"/>
      <c r="F269" s="338"/>
      <c r="G269" s="338"/>
      <c r="H269" s="340" t="n">
        <f aca="false">+VLOOKUP($A269,BASEdades!$A$3:$AA$283,7,FALSE())</f>
        <v>120</v>
      </c>
      <c r="I269" s="340" t="e">
        <f aca="false">#REF!*H269</f>
        <v>#REF!</v>
      </c>
    </row>
    <row r="270" customFormat="false" ht="28.35" hidden="false" customHeight="false" outlineLevel="0" collapsed="false">
      <c r="A270" s="329"/>
      <c r="B270" s="323"/>
      <c r="C270" s="323"/>
      <c r="D270" s="341" t="str">
        <f aca="false">+VLOOKUP($A269,BASEdades!$A$3:$AA$283,4,FALSE())</f>
        <v>Retirada de joc existent, sense enderroc de daus de formigó, a mà i acopi en obra (no inclou recol.locació).</v>
      </c>
      <c r="E270" s="342"/>
      <c r="F270" s="342"/>
      <c r="G270" s="342"/>
      <c r="H270" s="344"/>
      <c r="I270" s="345"/>
    </row>
    <row r="271" customFormat="false" ht="13.8" hidden="false" customHeight="false" outlineLevel="0" collapsed="false">
      <c r="A271" s="329"/>
      <c r="B271" s="323"/>
      <c r="C271" s="323"/>
      <c r="D271" s="346" t="str">
        <f aca="false">+VLOOKUP($A269,BASEdades!$A$3:$AA$283,5,FALSE())</f>
        <v>.Mides del joc: alçada fins 1,5m i àrea màx: 100cm*100cm</v>
      </c>
      <c r="E271" s="347"/>
      <c r="F271" s="347"/>
      <c r="G271" s="347"/>
      <c r="H271" s="349"/>
    </row>
    <row r="272" customFormat="false" ht="13.8" hidden="false" customHeight="false" outlineLevel="0" collapsed="false">
      <c r="A272" s="329"/>
      <c r="B272" s="323"/>
      <c r="C272" s="323"/>
      <c r="D272" s="286" t="s">
        <v>986</v>
      </c>
      <c r="E272" s="378" t="n">
        <f aca="false">+VLOOKUP($D272,PREUS!$B$1:$F$589,3,FALSE())</f>
        <v>25.8</v>
      </c>
      <c r="F272" s="378" t="str">
        <f aca="false">+VLOOKUP($D272,PREUS!$B$1:$F$589,4,FALSE())</f>
        <v>h</v>
      </c>
      <c r="G272" s="403" t="n">
        <v>3.5</v>
      </c>
      <c r="H272" s="404" t="n">
        <f aca="false">E272*G272</f>
        <v>90.3</v>
      </c>
    </row>
    <row r="273" customFormat="false" ht="11.25" hidden="false" customHeight="true" outlineLevel="0" collapsed="false">
      <c r="A273" s="329"/>
      <c r="B273" s="323"/>
      <c r="C273" s="323"/>
      <c r="D273" s="286" t="s">
        <v>1039</v>
      </c>
      <c r="E273" s="378" t="n">
        <v>27.35</v>
      </c>
      <c r="F273" s="378" t="s">
        <v>334</v>
      </c>
      <c r="G273" s="406" t="n">
        <v>1</v>
      </c>
      <c r="H273" s="404" t="n">
        <f aca="false">E273*G273</f>
        <v>27.35</v>
      </c>
    </row>
    <row r="274" customFormat="false" ht="13.8" hidden="false" customHeight="false" outlineLevel="0" collapsed="false">
      <c r="B274" s="323"/>
      <c r="C274" s="323"/>
      <c r="D274" s="286" t="s">
        <v>987</v>
      </c>
      <c r="E274" s="379" t="n">
        <f aca="false">SUM(H272:H273)</f>
        <v>117.65</v>
      </c>
      <c r="F274" s="403" t="s">
        <v>988</v>
      </c>
      <c r="G274" s="405" t="n">
        <v>0.02</v>
      </c>
      <c r="H274" s="404" t="n">
        <f aca="false">E274*G274</f>
        <v>2.353</v>
      </c>
    </row>
    <row r="275" s="277" customFormat="true" ht="13.8" hidden="false" customHeight="false" outlineLevel="0" collapsed="false">
      <c r="D275" s="351"/>
      <c r="H275" s="279"/>
      <c r="I275" s="279"/>
      <c r="M275" s="0"/>
    </row>
    <row r="276" customFormat="false" ht="13.8" hidden="false" customHeight="false" outlineLevel="0" collapsed="false">
      <c r="A276" s="286" t="s">
        <v>176</v>
      </c>
      <c r="B276" s="337"/>
      <c r="C276" s="337" t="str">
        <f aca="false">+VLOOKUP($A276,BASEdades!$A$3:$AA$283,3,FALSE())</f>
        <v>ut</v>
      </c>
      <c r="D276" s="338" t="str">
        <f aca="false">+VLOOKUP($A276,BASEdades!$A$3:$AA$283,2,FALSE())</f>
        <v>Retirada mobiliari existent</v>
      </c>
      <c r="E276" s="338"/>
      <c r="F276" s="338"/>
      <c r="G276" s="338"/>
      <c r="H276" s="340" t="n">
        <f aca="false">+VLOOKUP($A276,BASEdades!$A$3:$AA$283,7,FALSE())</f>
        <v>40</v>
      </c>
      <c r="I276" s="340" t="e">
        <f aca="false">#REF!*H276</f>
        <v>#REF!</v>
      </c>
    </row>
    <row r="277" customFormat="false" ht="41.75" hidden="false" customHeight="false" outlineLevel="0" collapsed="false">
      <c r="A277" s="329"/>
      <c r="B277" s="323"/>
      <c r="C277" s="323"/>
      <c r="D277" s="341" t="str">
        <f aca="false">+VLOOKUP($A276,BASEdades!$A$3:$AA$283,4,FALSE())</f>
        <v>Retirada de mobiliari existent (banc existent, jardineres, taules de picnic,...)  sense enderroc de daus de formigó, a mà i acopi en obra (no inclou recol.locació).</v>
      </c>
      <c r="E277" s="342"/>
      <c r="F277" s="342"/>
      <c r="G277" s="342"/>
      <c r="H277" s="344"/>
      <c r="I277" s="345"/>
    </row>
    <row r="278" customFormat="false" ht="13.8" hidden="false" customHeight="false" outlineLevel="0" collapsed="false">
      <c r="A278" s="329"/>
      <c r="B278" s="323"/>
      <c r="C278" s="323"/>
      <c r="D278" s="346" t="str">
        <f aca="false">+VLOOKUP($A276,BASEdades!$A$3:$AA$283,5,FALSE())</f>
        <v>.</v>
      </c>
      <c r="E278" s="347"/>
      <c r="F278" s="347"/>
      <c r="G278" s="347"/>
      <c r="H278" s="349"/>
    </row>
    <row r="279" customFormat="false" ht="13.8" hidden="false" customHeight="false" outlineLevel="0" collapsed="false">
      <c r="A279" s="329"/>
      <c r="B279" s="323"/>
      <c r="C279" s="323"/>
      <c r="D279" s="286" t="s">
        <v>986</v>
      </c>
      <c r="E279" s="378" t="n">
        <f aca="false">+VLOOKUP($D279,PREUS!$B$1:$F$589,3,FALSE())</f>
        <v>25.8</v>
      </c>
      <c r="F279" s="378" t="str">
        <f aca="false">+VLOOKUP($D279,PREUS!$B$1:$F$589,4,FALSE())</f>
        <v>h</v>
      </c>
      <c r="G279" s="403" t="n">
        <v>1.52</v>
      </c>
      <c r="H279" s="404" t="n">
        <f aca="false">E279*G279</f>
        <v>39.216</v>
      </c>
    </row>
    <row r="280" customFormat="false" ht="13.8" hidden="false" customHeight="false" outlineLevel="0" collapsed="false">
      <c r="B280" s="323"/>
      <c r="C280" s="323"/>
      <c r="D280" s="286" t="s">
        <v>987</v>
      </c>
      <c r="E280" s="379" t="n">
        <f aca="false">SUM(H278:H279)</f>
        <v>39.216</v>
      </c>
      <c r="F280" s="403" t="s">
        <v>988</v>
      </c>
      <c r="G280" s="405" t="n">
        <v>0.02</v>
      </c>
      <c r="H280" s="404" t="n">
        <f aca="false">E280*G280</f>
        <v>0.78432</v>
      </c>
    </row>
    <row r="281" customFormat="false" ht="13.8" hidden="false" customHeight="false" outlineLevel="0" collapsed="false">
      <c r="D281" s="350"/>
    </row>
    <row r="282" customFormat="false" ht="13.8" hidden="false" customHeight="false" outlineLevel="0" collapsed="false">
      <c r="A282" s="286" t="s">
        <v>63</v>
      </c>
      <c r="B282" s="337"/>
      <c r="C282" s="337" t="str">
        <f aca="false">+VLOOKUP($A282,BASEdades!$A$3:$AA$283,3,FALSE())</f>
        <v>m3</v>
      </c>
      <c r="D282" s="338" t="str">
        <f aca="false">+VLOOKUP($A282,BASEdades!$A$3:$AA$283,2,FALSE())</f>
        <v>Demolició de fonamentació de formigó</v>
      </c>
      <c r="E282" s="338"/>
      <c r="F282" s="338"/>
      <c r="G282" s="338"/>
      <c r="H282" s="340" t="n">
        <f aca="false">+VLOOKUP($A282,BASEdades!$A$3:$AA$283,7,FALSE())</f>
        <v>243.76</v>
      </c>
      <c r="I282" s="340" t="e">
        <f aca="false">#REF!*H282</f>
        <v>#REF!</v>
      </c>
    </row>
    <row r="283" customFormat="false" ht="51" hidden="false" customHeight="true" outlineLevel="0" collapsed="false">
      <c r="A283" s="329"/>
      <c r="B283" s="323"/>
      <c r="C283" s="323"/>
      <c r="D283" s="353" t="str">
        <f aca="false">+VLOOKUP($A282,BASEdades!$A$3:$AA$283,4,FALSE())</f>
        <v>Demolició de fonamentació de formigó en massa, per a elements de mobiliari urbà, amb mitjans manuals, martell pneumàtic i càrrega manual sobre camió o contenidor.
</v>
      </c>
      <c r="E283" s="342"/>
      <c r="F283" s="342"/>
      <c r="G283" s="342"/>
      <c r="H283" s="344"/>
      <c r="I283" s="345"/>
    </row>
    <row r="284" customFormat="false" ht="13.8" hidden="false" customHeight="false" outlineLevel="0" collapsed="false">
      <c r="A284" s="329"/>
      <c r="B284" s="323"/>
      <c r="C284" s="323"/>
      <c r="D284" s="346" t="str">
        <f aca="false">+VLOOKUP($A282,BASEdades!$A$3:$AA$283,5,FALSE())</f>
        <v>.</v>
      </c>
      <c r="E284" s="347"/>
      <c r="F284" s="347"/>
      <c r="G284" s="347"/>
      <c r="H284" s="349"/>
    </row>
    <row r="285" customFormat="false" ht="13.8" hidden="false" customHeight="false" outlineLevel="0" collapsed="false">
      <c r="A285" s="329"/>
      <c r="B285" s="323"/>
      <c r="C285" s="323"/>
      <c r="D285" s="286" t="s">
        <v>992</v>
      </c>
      <c r="E285" s="378" t="n">
        <f aca="false">+VLOOKUP($D285,PREUS!$B$1:$F$589,3,FALSE())</f>
        <v>4.57</v>
      </c>
      <c r="F285" s="378" t="str">
        <f aca="false">+VLOOKUP($D285,PREUS!$B$1:$F$589,4,FALSE())</f>
        <v>h</v>
      </c>
      <c r="G285" s="406" t="n">
        <v>4.5</v>
      </c>
      <c r="H285" s="404" t="n">
        <f aca="false">E285*G285</f>
        <v>20.565</v>
      </c>
    </row>
    <row r="286" s="277" customFormat="true" ht="13.8" hidden="false" customHeight="false" outlineLevel="0" collapsed="false">
      <c r="A286" s="354"/>
      <c r="B286" s="323"/>
      <c r="C286" s="323"/>
      <c r="D286" s="286" t="s">
        <v>993</v>
      </c>
      <c r="E286" s="378" t="n">
        <f aca="false">+VLOOKUP($D286,PREUS!$B$1:$F$589,3,FALSE())</f>
        <v>4.27</v>
      </c>
      <c r="F286" s="378" t="str">
        <f aca="false">+VLOOKUP($D286,PREUS!$B$1:$F$589,4,FALSE())</f>
        <v>h</v>
      </c>
      <c r="G286" s="406" t="n">
        <v>2.25</v>
      </c>
      <c r="H286" s="404" t="n">
        <f aca="false">E286*G286</f>
        <v>9.6075</v>
      </c>
      <c r="I286" s="279"/>
      <c r="M286" s="0"/>
    </row>
    <row r="287" s="277" customFormat="true" ht="13.8" hidden="false" customHeight="false" outlineLevel="0" collapsed="false">
      <c r="A287" s="354"/>
      <c r="B287" s="355"/>
      <c r="C287" s="355"/>
      <c r="D287" s="286" t="s">
        <v>986</v>
      </c>
      <c r="E287" s="378" t="n">
        <f aca="false">+VLOOKUP($D287,PREUS!$B$1:$F$589,3,FALSE())</f>
        <v>25.8</v>
      </c>
      <c r="F287" s="378" t="str">
        <f aca="false">+VLOOKUP($D287,PREUS!$B$1:$F$589,4,FALSE())</f>
        <v>h</v>
      </c>
      <c r="G287" s="406" t="n">
        <v>8.093</v>
      </c>
      <c r="H287" s="404" t="n">
        <f aca="false">E287*G287</f>
        <v>208.7994</v>
      </c>
      <c r="I287" s="279"/>
      <c r="M287" s="0"/>
    </row>
    <row r="288" s="277" customFormat="true" ht="13.8" hidden="false" customHeight="false" outlineLevel="0" collapsed="false">
      <c r="B288" s="355"/>
      <c r="C288" s="355"/>
      <c r="D288" s="286" t="s">
        <v>987</v>
      </c>
      <c r="E288" s="379" t="n">
        <f aca="false">SUM(H285:H287)</f>
        <v>238.9719</v>
      </c>
      <c r="F288" s="403" t="s">
        <v>988</v>
      </c>
      <c r="G288" s="405" t="n">
        <v>0.02</v>
      </c>
      <c r="H288" s="404" t="n">
        <f aca="false">E288*G288</f>
        <v>4.779438</v>
      </c>
      <c r="I288" s="279"/>
      <c r="M288" s="0"/>
    </row>
    <row r="289" s="277" customFormat="true" ht="13.8" hidden="false" customHeight="false" outlineLevel="0" collapsed="false">
      <c r="D289" s="351"/>
      <c r="H289" s="279"/>
      <c r="I289" s="279"/>
      <c r="M289" s="0"/>
    </row>
    <row r="290" customFormat="false" ht="13.8" hidden="false" customHeight="false" outlineLevel="0" collapsed="false">
      <c r="A290" s="286" t="s">
        <v>49</v>
      </c>
      <c r="B290" s="337"/>
      <c r="C290" s="337" t="str">
        <f aca="false">+VLOOKUP($A290,BASEdades!$A$3:$AA$283,3,FALSE())</f>
        <v>m</v>
      </c>
      <c r="D290" s="338" t="str">
        <f aca="false">+VLOOKUP($A290,BASEdades!$A$3:$AA$283,2,FALSE())</f>
        <v>Demolició de graó de formigó</v>
      </c>
      <c r="E290" s="338"/>
      <c r="F290" s="338"/>
      <c r="G290" s="338"/>
      <c r="H290" s="340" t="n">
        <f aca="false">+VLOOKUP($A290,BASEdades!$A$3:$AA$283,7,FALSE())</f>
        <v>7.62</v>
      </c>
      <c r="I290" s="340" t="e">
        <f aca="false">#REF!*H290</f>
        <v>#REF!</v>
      </c>
    </row>
    <row r="291" customFormat="false" ht="55.2" hidden="false" customHeight="false" outlineLevel="0" collapsed="false">
      <c r="A291" s="329"/>
      <c r="B291" s="323"/>
      <c r="C291" s="323"/>
      <c r="D291" s="341" t="str">
        <f aca="false">+VLOOKUP($A290,BASEdades!$A$3:$AA$283,4,FALSE())</f>
        <v>Demolició de graó de formigó, inclús la seva base, amb compressor i càrrega manual i mecànica de runa sobre camió o conenidor. Inclou l'enderroc d'estesa i alçada de graó de les mides existents.</v>
      </c>
      <c r="E291" s="342"/>
      <c r="F291" s="342"/>
      <c r="G291" s="342"/>
      <c r="H291" s="344"/>
      <c r="I291" s="345"/>
    </row>
    <row r="292" customFormat="false" ht="13.8" hidden="false" customHeight="false" outlineLevel="0" collapsed="false">
      <c r="A292" s="329"/>
      <c r="B292" s="323"/>
      <c r="C292" s="323"/>
      <c r="D292" s="346" t="s">
        <v>13</v>
      </c>
      <c r="E292" s="347"/>
      <c r="F292" s="347"/>
      <c r="G292" s="347"/>
      <c r="H292" s="349"/>
    </row>
    <row r="293" customFormat="false" ht="13.8" hidden="false" customHeight="false" outlineLevel="0" collapsed="false">
      <c r="A293" s="329"/>
      <c r="B293" s="323"/>
      <c r="C293" s="323"/>
      <c r="D293" s="286" t="s">
        <v>992</v>
      </c>
      <c r="E293" s="378" t="n">
        <f aca="false">+VLOOKUP($D293,PREUS!$B$1:$F$589,3,FALSE())</f>
        <v>4.57</v>
      </c>
      <c r="F293" s="378" t="str">
        <f aca="false">+VLOOKUP($D293,PREUS!$B$1:$F$589,4,FALSE())</f>
        <v>h</v>
      </c>
      <c r="G293" s="406" t="n">
        <v>0.216</v>
      </c>
      <c r="H293" s="404" t="n">
        <f aca="false">E293*G293</f>
        <v>0.98712</v>
      </c>
    </row>
    <row r="294" customFormat="false" ht="13.8" hidden="false" customHeight="false" outlineLevel="0" collapsed="false">
      <c r="A294" s="329"/>
      <c r="B294" s="323"/>
      <c r="C294" s="323"/>
      <c r="D294" s="286" t="s">
        <v>993</v>
      </c>
      <c r="E294" s="378" t="n">
        <f aca="false">+VLOOKUP($D294,PREUS!$B$1:$F$589,3,FALSE())</f>
        <v>4.27</v>
      </c>
      <c r="F294" s="378" t="str">
        <f aca="false">+VLOOKUP($D294,PREUS!$B$1:$F$589,4,FALSE())</f>
        <v>h</v>
      </c>
      <c r="G294" s="406" t="n">
        <v>0.216</v>
      </c>
      <c r="H294" s="404" t="n">
        <f aca="false">E294*G294</f>
        <v>0.92232</v>
      </c>
    </row>
    <row r="295" customFormat="false" ht="13.8" hidden="false" customHeight="false" outlineLevel="0" collapsed="false">
      <c r="A295" s="329"/>
      <c r="B295" s="323"/>
      <c r="C295" s="323"/>
      <c r="D295" s="286" t="s">
        <v>986</v>
      </c>
      <c r="E295" s="378" t="n">
        <f aca="false">+VLOOKUP($D295,PREUS!$B$1:$F$589,3,FALSE())</f>
        <v>25.8</v>
      </c>
      <c r="F295" s="378" t="str">
        <f aca="false">+VLOOKUP($D295,PREUS!$B$1:$F$589,4,FALSE())</f>
        <v>h</v>
      </c>
      <c r="G295" s="406" t="n">
        <v>0.2155</v>
      </c>
      <c r="H295" s="404" t="n">
        <f aca="false">E295*G295</f>
        <v>5.5599</v>
      </c>
    </row>
    <row r="296" customFormat="false" ht="13.8" hidden="false" customHeight="false" outlineLevel="0" collapsed="false">
      <c r="B296" s="323"/>
      <c r="C296" s="323"/>
      <c r="D296" s="286" t="s">
        <v>987</v>
      </c>
      <c r="E296" s="379" t="n">
        <f aca="false">SUM(H293:H295)</f>
        <v>7.46934</v>
      </c>
      <c r="F296" s="403" t="s">
        <v>988</v>
      </c>
      <c r="G296" s="405" t="n">
        <v>0.02</v>
      </c>
      <c r="H296" s="404" t="n">
        <f aca="false">E296*G296</f>
        <v>0.1493868</v>
      </c>
    </row>
    <row r="297" s="277" customFormat="true" ht="13.8" hidden="false" customHeight="false" outlineLevel="0" collapsed="false">
      <c r="D297" s="351"/>
      <c r="H297" s="279"/>
      <c r="I297" s="279"/>
      <c r="M297" s="0"/>
    </row>
    <row r="298" customFormat="false" ht="13.8" hidden="false" customHeight="false" outlineLevel="0" collapsed="false">
      <c r="A298" s="286" t="s">
        <v>184</v>
      </c>
      <c r="B298" s="337"/>
      <c r="C298" s="337" t="str">
        <f aca="false">+VLOOKUP($A298,BASEdades!$A$3:$AA$283,3,FALSE())</f>
        <v>ut</v>
      </c>
      <c r="D298" s="338" t="str">
        <f aca="false">+VLOOKUP($A298,BASEdades!$A$3:$AA$283,2,FALSE())</f>
        <v>Recol.lació de mobiliari existent</v>
      </c>
      <c r="E298" s="338"/>
      <c r="F298" s="338"/>
      <c r="G298" s="338"/>
      <c r="H298" s="340" t="n">
        <f aca="false">+VLOOKUP($A298,BASEdades!$A$3:$AA$283,7,FALSE())</f>
        <v>156</v>
      </c>
      <c r="I298" s="340" t="e">
        <f aca="false">#REF!*H298</f>
        <v>#REF!</v>
      </c>
    </row>
    <row r="299" customFormat="false" ht="55.2" hidden="false" customHeight="false" outlineLevel="0" collapsed="false">
      <c r="A299" s="329"/>
      <c r="B299" s="323"/>
      <c r="C299" s="323"/>
      <c r="D299" s="341" t="str">
        <f aca="false">+VLOOKUP($A298,BASEdades!$A$3:$AA$283,4,FALSE())</f>
        <v>Recol.locació de mobiliari existent (banc existent, jardineres, taules de picnic)  sobre paviment, fixat mecànicament. (No inclou la formació de daus de formigó. No inclou reparació de l'element) </v>
      </c>
      <c r="E299" s="342"/>
      <c r="F299" s="342"/>
      <c r="G299" s="342"/>
      <c r="H299" s="344"/>
      <c r="I299" s="345"/>
    </row>
    <row r="300" customFormat="false" ht="13.8" hidden="false" customHeight="false" outlineLevel="0" collapsed="false">
      <c r="A300" s="329"/>
      <c r="B300" s="323"/>
      <c r="C300" s="323"/>
      <c r="D300" s="346" t="str">
        <f aca="false">+VLOOKUP($A298,BASEdades!$A$3:$AA$283,5,FALSE())</f>
        <v>.</v>
      </c>
      <c r="E300" s="347"/>
      <c r="F300" s="347"/>
      <c r="G300" s="347"/>
      <c r="H300" s="349"/>
    </row>
    <row r="301" customFormat="false" ht="13.8" hidden="false" customHeight="false" outlineLevel="0" collapsed="false">
      <c r="A301" s="329"/>
      <c r="B301" s="323"/>
      <c r="C301" s="323"/>
      <c r="D301" s="416" t="s">
        <v>989</v>
      </c>
      <c r="E301" s="378" t="n">
        <f aca="false">+VLOOKUP($D301,PREUS!$B$1:$F$589,3,FALSE())</f>
        <v>30.79</v>
      </c>
      <c r="F301" s="378" t="str">
        <f aca="false">+VLOOKUP($D301,PREUS!$B$1:$F$589,4,FALSE())</f>
        <v>h</v>
      </c>
      <c r="G301" s="403" t="n">
        <v>2</v>
      </c>
      <c r="H301" s="404" t="n">
        <f aca="false">E301*G301</f>
        <v>61.58</v>
      </c>
    </row>
    <row r="302" customFormat="false" ht="13.8" hidden="false" customHeight="false" outlineLevel="0" collapsed="false">
      <c r="A302" s="329"/>
      <c r="B302" s="323"/>
      <c r="C302" s="323"/>
      <c r="D302" s="286" t="s">
        <v>986</v>
      </c>
      <c r="E302" s="378" t="n">
        <f aca="false">+VLOOKUP($D302,PREUS!$B$1:$F$589,3,FALSE())</f>
        <v>25.8</v>
      </c>
      <c r="F302" s="378" t="str">
        <f aca="false">+VLOOKUP($D302,PREUS!$B$1:$F$589,4,FALSE())</f>
        <v>h</v>
      </c>
      <c r="G302" s="403" t="n">
        <v>2</v>
      </c>
      <c r="H302" s="404" t="n">
        <f aca="false">E302*G302</f>
        <v>51.6</v>
      </c>
    </row>
    <row r="303" customFormat="false" ht="11.25" hidden="false" customHeight="true" outlineLevel="0" collapsed="false">
      <c r="A303" s="329"/>
      <c r="B303" s="323"/>
      <c r="C303" s="323"/>
      <c r="D303" s="286" t="s">
        <v>1039</v>
      </c>
      <c r="E303" s="378" t="n">
        <v>40.56</v>
      </c>
      <c r="F303" s="378" t="s">
        <v>334</v>
      </c>
      <c r="G303" s="406" t="n">
        <v>1</v>
      </c>
      <c r="H303" s="404" t="n">
        <f aca="false">E303*G303</f>
        <v>40.56</v>
      </c>
    </row>
    <row r="304" customFormat="false" ht="13.8" hidden="false" customHeight="false" outlineLevel="0" collapsed="false">
      <c r="B304" s="323"/>
      <c r="C304" s="323"/>
      <c r="D304" s="286" t="s">
        <v>987</v>
      </c>
      <c r="E304" s="379" t="n">
        <f aca="false">SUM(H300:H302)</f>
        <v>113.18</v>
      </c>
      <c r="F304" s="403" t="s">
        <v>988</v>
      </c>
      <c r="G304" s="405" t="n">
        <v>0.02</v>
      </c>
      <c r="H304" s="404" t="n">
        <f aca="false">E304*G304</f>
        <v>2.2636</v>
      </c>
    </row>
    <row r="305" s="277" customFormat="true" ht="13.8" hidden="false" customHeight="false" outlineLevel="0" collapsed="false">
      <c r="D305" s="351"/>
      <c r="H305" s="279"/>
      <c r="I305" s="279"/>
      <c r="M305" s="0"/>
    </row>
    <row r="306" customFormat="false" ht="13.8" hidden="false" customHeight="false" outlineLevel="0" collapsed="false">
      <c r="A306" s="286" t="s">
        <v>68</v>
      </c>
      <c r="B306" s="337"/>
      <c r="C306" s="337" t="str">
        <f aca="false">+VLOOKUP($A306,BASEdades!$A$3:$AA$283,3,FALSE())</f>
        <v>m3</v>
      </c>
      <c r="D306" s="338" t="str">
        <f aca="false">+VLOOKUP($A306,BASEdades!$A$3:$AA$283,2,FALSE())</f>
        <v>Rebaix de terreny</v>
      </c>
      <c r="E306" s="338"/>
      <c r="F306" s="338"/>
      <c r="G306" s="338"/>
      <c r="H306" s="340" t="n">
        <f aca="false">+VLOOKUP($A306,BASEdades!$A$3:$AA$283,7,FALSE())</f>
        <v>49</v>
      </c>
      <c r="I306" s="340" t="e">
        <f aca="false">#REF!*H306</f>
        <v>#REF!</v>
      </c>
    </row>
    <row r="307" customFormat="false" ht="41.75" hidden="false" customHeight="false" outlineLevel="0" collapsed="false">
      <c r="A307" s="329"/>
      <c r="B307" s="323"/>
      <c r="C307" s="323"/>
      <c r="D307" s="341" t="str">
        <f aca="false">+VLOOKUP($A306,BASEdades!$A$3:$AA$283,4,FALSE())</f>
        <v>Excavació a cel obert, en terra d'argila semidura, amb mitjans mecànics i càrrega a camió. El preu no inclou el transport dels materials excavats.</v>
      </c>
      <c r="E307" s="342"/>
      <c r="F307" s="342"/>
      <c r="G307" s="342"/>
      <c r="H307" s="344"/>
      <c r="I307" s="345"/>
    </row>
    <row r="308" customFormat="false" ht="13.8" hidden="false" customHeight="false" outlineLevel="0" collapsed="false">
      <c r="A308" s="329"/>
      <c r="B308" s="323"/>
      <c r="C308" s="323"/>
      <c r="D308" s="346" t="str">
        <f aca="false">+VLOOKUP($A306,BASEdades!$A$3:$AA$283,5,FALSE())</f>
        <v>.</v>
      </c>
      <c r="E308" s="347"/>
      <c r="F308" s="347"/>
      <c r="G308" s="347"/>
      <c r="H308" s="349"/>
    </row>
    <row r="309" customFormat="false" ht="13.8" hidden="false" customHeight="false" outlineLevel="0" collapsed="false">
      <c r="A309" s="329"/>
      <c r="B309" s="323"/>
      <c r="C309" s="323"/>
      <c r="D309" s="286" t="s">
        <v>995</v>
      </c>
      <c r="E309" s="378" t="n">
        <f aca="false">+VLOOKUP($D309,PREUS!$B$1:$F$589,3,FALSE())</f>
        <v>41.71</v>
      </c>
      <c r="F309" s="378" t="str">
        <f aca="false">+VLOOKUP($D309,PREUS!$B$1:$F$589,4,FALSE())</f>
        <v>h</v>
      </c>
      <c r="G309" s="406" t="n">
        <v>0.7</v>
      </c>
      <c r="H309" s="404" t="n">
        <f aca="false">E309*G309</f>
        <v>29.197</v>
      </c>
    </row>
    <row r="310" customFormat="false" ht="13.8" hidden="false" customHeight="false" outlineLevel="0" collapsed="false">
      <c r="A310" s="329"/>
      <c r="B310" s="323"/>
      <c r="C310" s="323"/>
      <c r="D310" s="286" t="s">
        <v>991</v>
      </c>
      <c r="E310" s="378" t="n">
        <f aca="false">+VLOOKUP($D310,PREUS!$B$1:$F$589,3,FALSE())</f>
        <v>27.39</v>
      </c>
      <c r="F310" s="378" t="str">
        <f aca="false">+VLOOKUP($D310,PREUS!$B$1:$F$589,4,FALSE())</f>
        <v>h</v>
      </c>
      <c r="G310" s="406" t="n">
        <v>0.688</v>
      </c>
      <c r="H310" s="404" t="n">
        <f aca="false">E310*G310</f>
        <v>18.84432</v>
      </c>
    </row>
    <row r="311" customFormat="false" ht="13.8" hidden="false" customHeight="false" outlineLevel="0" collapsed="false">
      <c r="B311" s="323"/>
      <c r="C311" s="323"/>
      <c r="D311" s="286" t="s">
        <v>987</v>
      </c>
      <c r="E311" s="379" t="n">
        <f aca="false">SUM(H309:H310)</f>
        <v>48.04132</v>
      </c>
      <c r="F311" s="403" t="s">
        <v>988</v>
      </c>
      <c r="G311" s="405" t="n">
        <v>0.02</v>
      </c>
      <c r="H311" s="404" t="n">
        <f aca="false">E311*G311</f>
        <v>0.9608264</v>
      </c>
    </row>
    <row r="312" s="277" customFormat="true" ht="13.8" hidden="false" customHeight="false" outlineLevel="0" collapsed="false">
      <c r="D312" s="351"/>
      <c r="H312" s="279"/>
      <c r="I312" s="279"/>
      <c r="M312" s="0"/>
    </row>
    <row r="313" customFormat="false" ht="13.8" hidden="false" customHeight="false" outlineLevel="0" collapsed="false">
      <c r="A313" s="286" t="s">
        <v>16</v>
      </c>
      <c r="B313" s="337"/>
      <c r="C313" s="337" t="str">
        <f aca="false">+VLOOKUP($A313,BASEdades!$A$3:$AA$283,3,FALSE())</f>
        <v>m3</v>
      </c>
      <c r="D313" s="338" t="str">
        <f aca="false">+VLOOKUP($A313,BASEdades!$A$3:$AA$283,2,FALSE())</f>
        <v>Transport residus</v>
      </c>
      <c r="E313" s="338"/>
      <c r="F313" s="338"/>
      <c r="G313" s="338"/>
      <c r="H313" s="340" t="n">
        <f aca="false">+VLOOKUP($A313,BASEdades!$A$3:$AA$283,7,FALSE())</f>
        <v>18.54</v>
      </c>
      <c r="I313" s="340" t="e">
        <f aca="false">#REF!*H313</f>
        <v>#REF!</v>
      </c>
    </row>
    <row r="314" customFormat="false" ht="76.5" hidden="false" customHeight="true" outlineLevel="0" collapsed="false">
      <c r="A314" s="329"/>
      <c r="B314" s="323"/>
      <c r="C314" s="323"/>
      <c r="D314" s="341" t="str">
        <f aca="false">+VLOOKUP($A313,BASEdades!$A$3:$AA$283,4,FALSE())</f>
        <v>Transport de residus inerts o no especials a instal·lació autorizada de gestió de residus, amb contenidor de qualsevol mida de capacitat, amb un recorregut complert fins a la instal·lació autoritzada de gestió del residu. Es considera un increment de 30% de l'amidament en concepte d'esponjament.</v>
      </c>
      <c r="E314" s="342"/>
      <c r="F314" s="342"/>
      <c r="G314" s="342"/>
      <c r="H314" s="344"/>
      <c r="I314" s="345"/>
    </row>
    <row r="315" customFormat="false" ht="13.8" hidden="false" customHeight="false" outlineLevel="0" collapsed="false">
      <c r="A315" s="329"/>
      <c r="B315" s="323"/>
      <c r="C315" s="323"/>
      <c r="D315" s="346" t="str">
        <f aca="false">+VLOOKUP($A313,BASEdades!$A$3:$AA$283,5,FALSE())</f>
        <v>.</v>
      </c>
      <c r="E315" s="347"/>
      <c r="F315" s="347"/>
      <c r="G315" s="347"/>
      <c r="H315" s="349"/>
    </row>
    <row r="316" customFormat="false" ht="13.8" hidden="false" customHeight="false" outlineLevel="0" collapsed="false">
      <c r="A316" s="329"/>
      <c r="B316" s="323"/>
      <c r="C316" s="323"/>
      <c r="D316" s="286" t="s">
        <v>1048</v>
      </c>
      <c r="E316" s="378" t="n">
        <f aca="false">+VLOOKUP($D316,PREUS!$B$1:$F$589,3,FALSE())</f>
        <v>96.15</v>
      </c>
      <c r="F316" s="378" t="str">
        <f aca="false">+VLOOKUP($D316,PREUS!$B$1:$F$589,4,FALSE())</f>
        <v>h</v>
      </c>
      <c r="G316" s="403" t="n">
        <v>0.189</v>
      </c>
      <c r="H316" s="404" t="n">
        <f aca="false">E316*G316</f>
        <v>18.17235</v>
      </c>
    </row>
    <row r="317" customFormat="false" ht="13.8" hidden="false" customHeight="false" outlineLevel="0" collapsed="false">
      <c r="B317" s="323"/>
      <c r="C317" s="323"/>
      <c r="D317" s="286" t="s">
        <v>987</v>
      </c>
      <c r="E317" s="379" t="n">
        <f aca="false">SUM(H315:H316)</f>
        <v>18.17235</v>
      </c>
      <c r="F317" s="403" t="s">
        <v>988</v>
      </c>
      <c r="G317" s="405" t="n">
        <v>0.02</v>
      </c>
      <c r="H317" s="404" t="n">
        <f aca="false">E317*G317</f>
        <v>0.363447</v>
      </c>
    </row>
    <row r="318" s="277" customFormat="true" ht="13.8" hidden="false" customHeight="false" outlineLevel="0" collapsed="false">
      <c r="B318" s="355"/>
      <c r="C318" s="355"/>
      <c r="D318" s="351"/>
      <c r="E318" s="352"/>
      <c r="F318" s="352"/>
      <c r="G318" s="352"/>
      <c r="H318" s="359"/>
      <c r="I318" s="360"/>
      <c r="M318" s="0"/>
    </row>
    <row r="319" customFormat="false" ht="13.8" hidden="false" customHeight="false" outlineLevel="0" collapsed="false">
      <c r="A319" s="286" t="s">
        <v>20</v>
      </c>
      <c r="B319" s="337"/>
      <c r="C319" s="337" t="str">
        <f aca="false">+VLOOKUP($A319,BASEdades!$A$3:$AA$283,3,FALSE())</f>
        <v>m3</v>
      </c>
      <c r="D319" s="338" t="str">
        <f aca="false">+VLOOKUP($A319,BASEdades!$A$3:$AA$283,2,FALSE())</f>
        <v>Deposició en dipòsit autoritzat</v>
      </c>
      <c r="E319" s="338"/>
      <c r="F319" s="338"/>
      <c r="G319" s="338"/>
      <c r="H319" s="340" t="n">
        <f aca="false">+VLOOKUP($A319,BASEdades!$A$3:$AA$283,7,FALSE())</f>
        <v>20.64</v>
      </c>
      <c r="I319" s="340" t="e">
        <f aca="false">#REF!*H319</f>
        <v>#REF!</v>
      </c>
    </row>
    <row r="320" customFormat="false" ht="78.75" hidden="false" customHeight="true" outlineLevel="0" collapsed="false">
      <c r="A320" s="329"/>
      <c r="B320" s="323"/>
      <c r="C320" s="323"/>
      <c r="D320" s="341" t="str">
        <f aca="false">+VLOOKUP($A319,BASEdades!$A$3:$AA$283,4,FALSE())</f>
        <v>Deposició controlada en dipòsit autoritzat inclòs el cànon sobre la deposició controlada dels residus de la construcció, segons la LLEI 8/2008, de residus barrejats no perillosos, procedents de construcció o demolició. Es considera un increment de 30% de l'amidament en concepte d'esponjament.</v>
      </c>
      <c r="E320" s="342"/>
      <c r="F320" s="342"/>
      <c r="G320" s="342"/>
      <c r="H320" s="344"/>
      <c r="I320" s="345"/>
    </row>
    <row r="321" customFormat="false" ht="13.8" hidden="false" customHeight="false" outlineLevel="0" collapsed="false">
      <c r="B321" s="323"/>
      <c r="C321" s="323"/>
      <c r="D321" s="346" t="str">
        <f aca="false">+VLOOKUP($A319,BASEdades!$A$3:$AA$283,5,FALSE())</f>
        <v>.</v>
      </c>
      <c r="E321" s="347"/>
      <c r="F321" s="347"/>
      <c r="G321" s="347"/>
      <c r="H321" s="349"/>
    </row>
    <row r="322" customFormat="false" ht="13.8" hidden="false" customHeight="false" outlineLevel="0" collapsed="false">
      <c r="B322" s="368"/>
      <c r="C322" s="368"/>
      <c r="D322" s="341"/>
      <c r="E322" s="343"/>
      <c r="F322" s="343"/>
      <c r="G322" s="343"/>
      <c r="H322" s="344"/>
      <c r="I322" s="370"/>
    </row>
    <row r="323" customFormat="false" ht="13.8" hidden="false" customHeight="false" outlineLevel="0" collapsed="false">
      <c r="A323" s="329" t="s">
        <v>274</v>
      </c>
      <c r="B323" s="337"/>
      <c r="C323" s="337" t="str">
        <f aca="false">+VLOOKUP($A323,BASEdades!$A$3:$AA$283,3,FALSE())</f>
        <v>m2</v>
      </c>
      <c r="D323" s="367" t="str">
        <f aca="false">+VLOOKUP($A323,BASEdades!$A$3:$AA$298,2,FALSE())</f>
        <v>Estructura suport de tarimes bloc de formigó</v>
      </c>
      <c r="E323" s="338"/>
      <c r="F323" s="338"/>
      <c r="G323" s="338"/>
      <c r="H323" s="340" t="n">
        <f aca="false">+VLOOKUP($A323,BASEdades!$A$3:$AA$283,7,FALSE())</f>
        <v>44.53</v>
      </c>
      <c r="I323" s="340" t="e">
        <f aca="false">#REF!*H323</f>
        <v>#REF!</v>
      </c>
    </row>
    <row r="324" customFormat="false" ht="32.25" hidden="false" customHeight="true" outlineLevel="0" collapsed="false">
      <c r="B324" s="368"/>
      <c r="C324" s="368"/>
      <c r="D324" s="353" t="str">
        <f aca="false">+VLOOKUP($A323,BASEdades!$A$3:$AA$283,4,FALSE())</f>
        <v>Formació  subestructura de suport per a tarimes fins a 50cm amb peus de bloc de formigó massisat. No inclou revestiment.</v>
      </c>
      <c r="E324" s="341"/>
      <c r="F324" s="341"/>
      <c r="G324" s="341"/>
      <c r="H324" s="344"/>
      <c r="I324" s="370"/>
    </row>
    <row r="325" customFormat="false" ht="14.9" hidden="false" customHeight="false" outlineLevel="0" collapsed="false">
      <c r="B325" s="368"/>
      <c r="C325" s="368"/>
      <c r="D325" s="341" t="str">
        <f aca="false">+VLOOKUP($A323,BASEdades!$A$3:$AA$283,5,FALSE())</f>
        <v>.mides: m2</v>
      </c>
      <c r="E325" s="341"/>
      <c r="F325" s="341"/>
      <c r="G325" s="341"/>
      <c r="H325" s="344"/>
      <c r="I325" s="370"/>
    </row>
    <row r="326" customFormat="false" ht="14.9" hidden="false" customHeight="false" outlineLevel="0" collapsed="false">
      <c r="B326" s="368"/>
      <c r="C326" s="368"/>
      <c r="D326" s="341" t="str">
        <f aca="false">+VLOOKUP($A323,BASEdades!$A$3:$AA$283,6,FALSE())</f>
        <v>.</v>
      </c>
      <c r="E326" s="341"/>
      <c r="F326" s="341"/>
      <c r="G326" s="341"/>
      <c r="H326" s="344"/>
      <c r="I326" s="370"/>
    </row>
    <row r="327" customFormat="false" ht="13.8" hidden="false" customHeight="false" outlineLevel="0" collapsed="false">
      <c r="B327" s="368"/>
      <c r="C327" s="368"/>
      <c r="D327" s="286" t="s">
        <v>1049</v>
      </c>
      <c r="E327" s="378" t="n">
        <f aca="false">+VLOOKUP($D327,PREUS!$B$1:$F$589,3,FALSE())</f>
        <v>0.91</v>
      </c>
      <c r="F327" s="378" t="str">
        <f aca="false">+VLOOKUP($D327,PREUS!$B$1:$F$589,4,FALSE())</f>
        <v>u</v>
      </c>
      <c r="G327" s="406" t="n">
        <v>12.6</v>
      </c>
      <c r="H327" s="420" t="n">
        <f aca="false">E327*G327</f>
        <v>11.466</v>
      </c>
      <c r="I327" s="370"/>
    </row>
    <row r="328" s="277" customFormat="true" ht="13.8" hidden="false" customHeight="false" outlineLevel="0" collapsed="false">
      <c r="B328" s="368"/>
      <c r="C328" s="368"/>
      <c r="D328" s="286" t="s">
        <v>1009</v>
      </c>
      <c r="E328" s="378" t="n">
        <f aca="false">+VLOOKUP($D328,PREUS!$B$1:$F$589,3,FALSE())</f>
        <v>1.5</v>
      </c>
      <c r="F328" s="378" t="str">
        <f aca="false">+VLOOKUP($D328,PREUS!$B$1:$F$589,4,FALSE())</f>
        <v>m3</v>
      </c>
      <c r="G328" s="406" t="n">
        <v>0.004</v>
      </c>
      <c r="H328" s="420" t="n">
        <f aca="false">E328*G328</f>
        <v>0.006</v>
      </c>
      <c r="I328" s="366"/>
      <c r="M328" s="0"/>
    </row>
    <row r="329" s="277" customFormat="true" ht="13.8" hidden="false" customHeight="false" outlineLevel="0" collapsed="false">
      <c r="B329" s="368"/>
      <c r="C329" s="368"/>
      <c r="D329" s="286" t="s">
        <v>1050</v>
      </c>
      <c r="E329" s="378" t="n">
        <f aca="false">+VLOOKUP($D329,PREUS!$B$1:$F$589,3,FALSE())</f>
        <v>115.3</v>
      </c>
      <c r="F329" s="378" t="str">
        <f aca="false">+VLOOKUP($D329,PREUS!$B$1:$F$589,4,FALSE())</f>
        <v>m3</v>
      </c>
      <c r="G329" s="406" t="n">
        <v>0.021</v>
      </c>
      <c r="H329" s="420" t="n">
        <f aca="false">E329*G329</f>
        <v>2.4213</v>
      </c>
      <c r="I329" s="366"/>
      <c r="M329" s="0"/>
    </row>
    <row r="330" s="277" customFormat="true" ht="23.85" hidden="false" customHeight="false" outlineLevel="0" collapsed="false">
      <c r="B330" s="368"/>
      <c r="C330" s="368"/>
      <c r="D330" s="421" t="s">
        <v>1051</v>
      </c>
      <c r="E330" s="378" t="n">
        <f aca="false">+VLOOKUP($D330,PREUS!$B$1:$F$589,3,FALSE())</f>
        <v>1.94</v>
      </c>
      <c r="F330" s="378" t="str">
        <f aca="false">+VLOOKUP($D330,PREUS!$B$1:$F$589,4,FALSE())</f>
        <v>h</v>
      </c>
      <c r="G330" s="406" t="n">
        <v>0.079</v>
      </c>
      <c r="H330" s="420" t="n">
        <f aca="false">E330*G330</f>
        <v>0.15326</v>
      </c>
      <c r="I330" s="366"/>
      <c r="M330" s="0"/>
    </row>
    <row r="331" s="277" customFormat="true" ht="13.8" hidden="false" customHeight="false" outlineLevel="0" collapsed="false">
      <c r="B331" s="368"/>
      <c r="C331" s="368"/>
      <c r="D331" s="416" t="s">
        <v>989</v>
      </c>
      <c r="E331" s="378" t="n">
        <f aca="false">+VLOOKUP($D331,PREUS!$B$1:$F$589,3,FALSE())</f>
        <v>30.79</v>
      </c>
      <c r="F331" s="378" t="str">
        <f aca="false">+VLOOKUP($D331,PREUS!$B$1:$F$589,4,FALSE())</f>
        <v>h</v>
      </c>
      <c r="G331" s="406" t="n">
        <v>0.522</v>
      </c>
      <c r="H331" s="419" t="n">
        <f aca="false">E331*G331</f>
        <v>16.07238</v>
      </c>
      <c r="I331" s="279"/>
      <c r="M331" s="0"/>
    </row>
    <row r="332" s="277" customFormat="true" ht="13.8" hidden="false" customHeight="false" outlineLevel="0" collapsed="false">
      <c r="B332" s="368"/>
      <c r="C332" s="368"/>
      <c r="D332" s="286" t="s">
        <v>986</v>
      </c>
      <c r="E332" s="378" t="n">
        <f aca="false">+VLOOKUP($D332,PREUS!$B$1:$F$589,3,FALSE())</f>
        <v>25.8</v>
      </c>
      <c r="F332" s="378" t="str">
        <f aca="false">+VLOOKUP($D332,PREUS!$B$1:$F$589,4,FALSE())</f>
        <v>h</v>
      </c>
      <c r="G332" s="406" t="n">
        <v>0.5246</v>
      </c>
      <c r="H332" s="419" t="n">
        <f aca="false">E332*G332</f>
        <v>13.53468</v>
      </c>
      <c r="I332" s="279"/>
      <c r="M332" s="0"/>
    </row>
    <row r="333" s="277" customFormat="true" ht="13.8" hidden="false" customHeight="false" outlineLevel="0" collapsed="false">
      <c r="B333" s="368"/>
      <c r="C333" s="368"/>
      <c r="D333" s="286" t="s">
        <v>987</v>
      </c>
      <c r="E333" s="379" t="n">
        <f aca="false">SUM(H327:H332)</f>
        <v>43.65362</v>
      </c>
      <c r="F333" s="403" t="s">
        <v>988</v>
      </c>
      <c r="G333" s="405" t="n">
        <v>0.02</v>
      </c>
      <c r="H333" s="419" t="n">
        <f aca="false">E333*G333</f>
        <v>0.8730724</v>
      </c>
      <c r="I333" s="279"/>
      <c r="M333" s="0"/>
    </row>
    <row r="334" s="277" customFormat="true" ht="13.8" hidden="false" customHeight="false" outlineLevel="0" collapsed="false">
      <c r="B334" s="361"/>
      <c r="C334" s="361"/>
      <c r="D334" s="351"/>
      <c r="E334" s="352"/>
      <c r="F334" s="352"/>
      <c r="G334" s="352"/>
      <c r="H334" s="359"/>
      <c r="I334" s="366"/>
      <c r="M334" s="0"/>
    </row>
    <row r="335" customFormat="false" ht="13.8" hidden="false" customHeight="false" outlineLevel="0" collapsed="false">
      <c r="A335" s="329" t="s">
        <v>261</v>
      </c>
      <c r="B335" s="337"/>
      <c r="C335" s="337" t="str">
        <f aca="false">+VLOOKUP($A335,BASEdades!$A$3:$AA$283,3,FALSE())</f>
        <v>m2</v>
      </c>
      <c r="D335" s="367" t="str">
        <f aca="false">+VLOOKUP($A335,BASEdades!$A$3:$AA$298,2,FALSE())</f>
        <v>Tarima de fusta de pi</v>
      </c>
      <c r="E335" s="338"/>
      <c r="F335" s="338"/>
      <c r="G335" s="338"/>
      <c r="H335" s="340" t="n">
        <f aca="false">+VLOOKUP($A335,BASEdades!$A$3:$AA$283,7,FALSE())</f>
        <v>120</v>
      </c>
      <c r="I335" s="340" t="e">
        <f aca="false">#REF!*H335</f>
        <v>#REF!</v>
      </c>
    </row>
    <row r="336" customFormat="false" ht="62.25" hidden="false" customHeight="true" outlineLevel="0" collapsed="false">
      <c r="B336" s="368"/>
      <c r="C336" s="368"/>
      <c r="D336" s="353" t="str">
        <f aca="false">+VLOOKUP($A335,BASEdades!$A$3:$AA$283,4,FALSE())</f>
        <v>Subministrament i instal·lació de tarima de fusta per a exterior, formada per llistons de fusta massissa de pi tractat a autoclau, fixats mitjançant el sistema de fixació vista, sobre rastrells de fusta de pi, separats 40 cm entre si i fixats a la base existent. </v>
      </c>
      <c r="E336" s="341"/>
      <c r="F336" s="341"/>
      <c r="G336" s="341"/>
      <c r="H336" s="344"/>
      <c r="I336" s="370"/>
    </row>
    <row r="337" customFormat="false" ht="14.9" hidden="false" customHeight="false" outlineLevel="0" collapsed="false">
      <c r="B337" s="368"/>
      <c r="C337" s="368"/>
      <c r="D337" s="341" t="str">
        <f aca="false">+VLOOKUP($A335,BASEdades!$A$3:$AA$283,5,FALSE())</f>
        <v>.mides: m2</v>
      </c>
      <c r="E337" s="341"/>
      <c r="F337" s="341"/>
      <c r="G337" s="341"/>
      <c r="H337" s="344"/>
      <c r="I337" s="370"/>
    </row>
    <row r="338" customFormat="false" ht="14.9" hidden="false" customHeight="false" outlineLevel="0" collapsed="false">
      <c r="B338" s="368"/>
      <c r="C338" s="368"/>
      <c r="D338" s="341" t="str">
        <f aca="false">+VLOOKUP($A335,BASEdades!$A$3:$AA$283,6,FALSE())</f>
        <v>.</v>
      </c>
      <c r="E338" s="348"/>
      <c r="F338" s="348"/>
      <c r="G338" s="348"/>
      <c r="H338" s="344"/>
      <c r="I338" s="370"/>
    </row>
    <row r="339" customFormat="false" ht="13.8" hidden="false" customHeight="false" outlineLevel="0" collapsed="false">
      <c r="B339" s="368"/>
      <c r="C339" s="368"/>
      <c r="D339" s="286" t="s">
        <v>1052</v>
      </c>
      <c r="E339" s="378" t="n">
        <f aca="false">+VLOOKUP($D339,PREUS!$B$1:$F$589,3,FALSE())</f>
        <v>2.7945</v>
      </c>
      <c r="F339" s="378" t="str">
        <f aca="false">+VLOOKUP($D339,PREUS!$B$1:$F$589,4,FALSE())</f>
        <v>m</v>
      </c>
      <c r="G339" s="418" t="n">
        <v>2.1</v>
      </c>
      <c r="H339" s="419" t="n">
        <f aca="false">E339*G339</f>
        <v>5.86845</v>
      </c>
    </row>
    <row r="340" customFormat="false" ht="13.8" hidden="false" customHeight="false" outlineLevel="0" collapsed="false">
      <c r="B340" s="368"/>
      <c r="C340" s="368"/>
      <c r="D340" s="416" t="s">
        <v>1053</v>
      </c>
      <c r="E340" s="378" t="n">
        <f aca="false">+VLOOKUP($D340,PREUS!$B$1:$F$589,3,FALSE())</f>
        <v>1.564</v>
      </c>
      <c r="F340" s="378" t="str">
        <f aca="false">+VLOOKUP($D340,PREUS!$B$1:$F$589,4,FALSE())</f>
        <v>m</v>
      </c>
      <c r="G340" s="418" t="n">
        <v>1.05</v>
      </c>
      <c r="H340" s="419" t="n">
        <f aca="false">E340*G340</f>
        <v>1.6422</v>
      </c>
    </row>
    <row r="341" customFormat="false" ht="13.8" hidden="false" customHeight="false" outlineLevel="0" collapsed="false">
      <c r="B341" s="368"/>
      <c r="C341" s="368"/>
      <c r="D341" s="286" t="s">
        <v>1046</v>
      </c>
      <c r="E341" s="378" t="n">
        <v>20</v>
      </c>
      <c r="F341" s="378" t="str">
        <f aca="false">+VLOOKUP($D341,PREUS!$B$1:$F$589,4,FALSE())</f>
        <v>kg</v>
      </c>
      <c r="G341" s="418" t="n">
        <v>0.5</v>
      </c>
      <c r="H341" s="419" t="n">
        <f aca="false">E341*G341</f>
        <v>10</v>
      </c>
    </row>
    <row r="342" customFormat="false" ht="13.8" hidden="false" customHeight="false" outlineLevel="0" collapsed="false">
      <c r="B342" s="368"/>
      <c r="C342" s="368"/>
      <c r="D342" s="416" t="s">
        <v>1047</v>
      </c>
      <c r="E342" s="378" t="n">
        <f aca="false">+VLOOKUP($D342,PREUS!$B$1:$F$589,3,FALSE())</f>
        <v>30.76</v>
      </c>
      <c r="F342" s="378" t="str">
        <f aca="false">+VLOOKUP($D342,PREUS!$B$1:$F$589,4,FALSE())</f>
        <v>h</v>
      </c>
      <c r="G342" s="418" t="n">
        <v>1.578</v>
      </c>
      <c r="H342" s="419" t="n">
        <f aca="false">E342*G342</f>
        <v>48.53928</v>
      </c>
    </row>
    <row r="343" customFormat="false" ht="13.8" hidden="false" customHeight="false" outlineLevel="0" collapsed="false">
      <c r="B343" s="368"/>
      <c r="C343" s="368"/>
      <c r="D343" s="416" t="s">
        <v>986</v>
      </c>
      <c r="E343" s="378" t="n">
        <f aca="false">+VLOOKUP($D343,PREUS!$B$1:$F$589,3,FALSE())</f>
        <v>25.8</v>
      </c>
      <c r="F343" s="378" t="str">
        <f aca="false">+VLOOKUP($D343,PREUS!$B$1:$F$589,4,FALSE())</f>
        <v>h</v>
      </c>
      <c r="G343" s="418" t="n">
        <v>2</v>
      </c>
      <c r="H343" s="419" t="n">
        <f aca="false">E343*G343</f>
        <v>51.6</v>
      </c>
    </row>
    <row r="344" customFormat="false" ht="13.8" hidden="false" customHeight="false" outlineLevel="0" collapsed="false">
      <c r="B344" s="368"/>
      <c r="C344" s="368"/>
      <c r="D344" s="286" t="s">
        <v>987</v>
      </c>
      <c r="E344" s="379" t="n">
        <f aca="false">SUM(H338:H343)</f>
        <v>117.64993</v>
      </c>
      <c r="F344" s="403" t="s">
        <v>988</v>
      </c>
      <c r="G344" s="405" t="n">
        <v>0.02</v>
      </c>
      <c r="H344" s="419" t="n">
        <f aca="false">E344*G344</f>
        <v>2.3529986</v>
      </c>
    </row>
    <row r="345" customFormat="false" ht="13.8" hidden="false" customHeight="false" outlineLevel="0" collapsed="false">
      <c r="B345" s="368"/>
      <c r="C345" s="368"/>
      <c r="D345" s="341"/>
      <c r="E345" s="348"/>
      <c r="F345" s="348"/>
      <c r="G345" s="348"/>
      <c r="H345" s="344"/>
      <c r="I345" s="370"/>
    </row>
    <row r="346" customFormat="false" ht="13.8" hidden="false" customHeight="false" outlineLevel="0" collapsed="false">
      <c r="A346" s="329" t="s">
        <v>277</v>
      </c>
      <c r="B346" s="337"/>
      <c r="C346" s="337" t="str">
        <f aca="false">+VLOOKUP($A346,BASEdades!$A$3:$AA$283,3,FALSE())</f>
        <v>m2</v>
      </c>
      <c r="D346" s="367" t="str">
        <f aca="false">+VLOOKUP($A346,BASEdades!$A$3:$AA$298,2,FALSE())</f>
        <v>Estructura suport de tarimes de fusta</v>
      </c>
      <c r="E346" s="338"/>
      <c r="F346" s="338"/>
      <c r="G346" s="338"/>
      <c r="H346" s="340" t="n">
        <f aca="false">+VLOOKUP($A346,BASEdades!$A$3:$AA$283,7,FALSE())</f>
        <v>69</v>
      </c>
      <c r="I346" s="340" t="e">
        <f aca="false">#REF!*H346</f>
        <v>#REF!</v>
      </c>
    </row>
    <row r="347" customFormat="false" ht="28.35" hidden="false" customHeight="false" outlineLevel="0" collapsed="false">
      <c r="B347" s="368"/>
      <c r="C347" s="368"/>
      <c r="D347" s="353" t="str">
        <f aca="false">+VLOOKUP($A346,BASEdades!$A$3:$AA$283,4,FALSE())</f>
        <v>Formació de subestructura de suport per a tarimes amb rastrells de fusta de pi tractat perfil 69x44cm. No inclou revestiment.</v>
      </c>
      <c r="E347" s="341"/>
      <c r="F347" s="341"/>
      <c r="G347" s="341"/>
      <c r="H347" s="344"/>
      <c r="I347" s="370"/>
    </row>
    <row r="348" customFormat="false" ht="14.9" hidden="false" customHeight="false" outlineLevel="0" collapsed="false">
      <c r="B348" s="368"/>
      <c r="C348" s="368"/>
      <c r="D348" s="341" t="str">
        <f aca="false">+VLOOKUP($A346,BASEdades!$A$3:$AA$283,5,FALSE())</f>
        <v>.mides: m2</v>
      </c>
      <c r="E348" s="341"/>
      <c r="F348" s="341"/>
      <c r="G348" s="341"/>
      <c r="H348" s="344"/>
      <c r="I348" s="370"/>
    </row>
    <row r="349" customFormat="false" ht="14.9" hidden="false" customHeight="false" outlineLevel="0" collapsed="false">
      <c r="B349" s="368"/>
      <c r="C349" s="368"/>
      <c r="D349" s="341" t="str">
        <f aca="false">+VLOOKUP($A346,BASEdades!$A$3:$AA$283,6,FALSE())</f>
        <v>.</v>
      </c>
      <c r="E349" s="348"/>
      <c r="F349" s="348"/>
      <c r="G349" s="348"/>
      <c r="H349" s="344"/>
      <c r="I349" s="370"/>
    </row>
    <row r="350" customFormat="false" ht="13.8" hidden="false" customHeight="false" outlineLevel="0" collapsed="false">
      <c r="B350" s="368"/>
      <c r="C350" s="368"/>
      <c r="D350" s="416" t="s">
        <v>1054</v>
      </c>
      <c r="E350" s="378" t="n">
        <f aca="false">+VLOOKUP($D350,PREUS!$B$1:$F$589,3,FALSE())</f>
        <v>4.071</v>
      </c>
      <c r="F350" s="378" t="str">
        <f aca="false">+VLOOKUP($D350,PREUS!$B$1:$F$589,4,FALSE())</f>
        <v>m</v>
      </c>
      <c r="G350" s="418" t="n">
        <v>2.1</v>
      </c>
      <c r="H350" s="419" t="n">
        <f aca="false">E350*G350</f>
        <v>8.5491</v>
      </c>
      <c r="I350" s="370"/>
    </row>
    <row r="351" customFormat="false" ht="13.8" hidden="false" customHeight="false" outlineLevel="0" collapsed="false">
      <c r="B351" s="368"/>
      <c r="C351" s="368"/>
      <c r="D351" s="286" t="s">
        <v>1046</v>
      </c>
      <c r="E351" s="378" t="n">
        <v>20</v>
      </c>
      <c r="F351" s="378" t="str">
        <f aca="false">+VLOOKUP($D351,PREUS!$B$1:$F$589,4,FALSE())</f>
        <v>kg</v>
      </c>
      <c r="G351" s="418" t="n">
        <v>0.5</v>
      </c>
      <c r="H351" s="419" t="n">
        <f aca="false">E351*G351</f>
        <v>10</v>
      </c>
    </row>
    <row r="352" customFormat="false" ht="13.8" hidden="false" customHeight="false" outlineLevel="0" collapsed="false">
      <c r="B352" s="368"/>
      <c r="C352" s="368"/>
      <c r="D352" s="416" t="s">
        <v>1047</v>
      </c>
      <c r="E352" s="378" t="n">
        <f aca="false">+VLOOKUP($D352,PREUS!$B$1:$F$589,3,FALSE())</f>
        <v>30.76</v>
      </c>
      <c r="F352" s="378" t="str">
        <f aca="false">+VLOOKUP($D352,PREUS!$B$1:$F$589,4,FALSE())</f>
        <v>h</v>
      </c>
      <c r="G352" s="418" t="n">
        <v>0.87</v>
      </c>
      <c r="H352" s="419" t="n">
        <f aca="false">E352*G352</f>
        <v>26.7612</v>
      </c>
    </row>
    <row r="353" customFormat="false" ht="13.8" hidden="false" customHeight="false" outlineLevel="0" collapsed="false">
      <c r="B353" s="368"/>
      <c r="C353" s="368"/>
      <c r="D353" s="416" t="s">
        <v>986</v>
      </c>
      <c r="E353" s="378" t="n">
        <f aca="false">+VLOOKUP($D353,PREUS!$B$1:$F$589,3,FALSE())</f>
        <v>25.8</v>
      </c>
      <c r="F353" s="378" t="str">
        <f aca="false">+VLOOKUP($D353,PREUS!$B$1:$F$589,4,FALSE())</f>
        <v>h</v>
      </c>
      <c r="G353" s="418" t="n">
        <v>0.8658</v>
      </c>
      <c r="H353" s="419" t="n">
        <f aca="false">E353*G353</f>
        <v>22.33764</v>
      </c>
    </row>
    <row r="354" customFormat="false" ht="13.8" hidden="false" customHeight="false" outlineLevel="0" collapsed="false">
      <c r="B354" s="368"/>
      <c r="C354" s="368"/>
      <c r="D354" s="286" t="s">
        <v>987</v>
      </c>
      <c r="E354" s="379" t="n">
        <f aca="false">SUM(H348:H353)</f>
        <v>67.64794</v>
      </c>
      <c r="F354" s="403" t="s">
        <v>988</v>
      </c>
      <c r="G354" s="405" t="n">
        <v>0.02</v>
      </c>
      <c r="H354" s="419" t="n">
        <f aca="false">E354*G354</f>
        <v>1.3529588</v>
      </c>
    </row>
    <row r="355" customFormat="false" ht="13.8" hidden="false" customHeight="false" outlineLevel="0" collapsed="false">
      <c r="B355" s="368"/>
      <c r="C355" s="368"/>
      <c r="D355" s="350"/>
      <c r="E355" s="348"/>
      <c r="F355" s="348"/>
      <c r="G355" s="348"/>
      <c r="H355" s="344"/>
      <c r="I355" s="370"/>
    </row>
    <row r="356" customFormat="false" ht="13.8" hidden="false" customHeight="false" outlineLevel="0" collapsed="false">
      <c r="A356" s="329" t="s">
        <v>191</v>
      </c>
      <c r="B356" s="337"/>
      <c r="C356" s="337" t="str">
        <f aca="false">+VLOOKUP($A356,BASEdades!$A$3:$AA$283,3,FALSE())</f>
        <v>m3</v>
      </c>
      <c r="D356" s="367" t="str">
        <f aca="false">+VLOOKUP($A356,BASEdades!$A$3:$AA$298,2,FALSE())</f>
        <v>Formació de desnivell</v>
      </c>
      <c r="E356" s="338"/>
      <c r="F356" s="338"/>
      <c r="G356" s="338"/>
      <c r="H356" s="340" t="n">
        <f aca="false">+VLOOKUP($A356,BASEdades!$A$3:$AA$283,7,FALSE())</f>
        <v>88</v>
      </c>
      <c r="I356" s="340" t="e">
        <f aca="false">#REF!*H356</f>
        <v>#REF!</v>
      </c>
    </row>
    <row r="357" customFormat="false" ht="68.65" hidden="false" customHeight="false" outlineLevel="0" collapsed="false">
      <c r="B357" s="368"/>
      <c r="C357" s="368"/>
      <c r="D357" s="353" t="str">
        <f aca="false">+VLOOKUP($A356,BASEdades!$A$3:$AA$283,4,FALSE())</f>
        <v>Formació de desnivell amb terra barrejada amb una proporció aproximada de 45% argila, 45% sauló i un 10% de matèria orgànica per facilitar la plantació de vegetació  (no inclou gespa ni plantes). Subministrament en big bags i estesa amb mitjans manuals i mecànics.</v>
      </c>
      <c r="E357" s="341"/>
      <c r="F357" s="341"/>
      <c r="G357" s="341"/>
      <c r="H357" s="344"/>
      <c r="I357" s="370"/>
    </row>
    <row r="358" customFormat="false" ht="14.9" hidden="false" customHeight="false" outlineLevel="0" collapsed="false">
      <c r="B358" s="368"/>
      <c r="C358" s="368"/>
      <c r="D358" s="341" t="str">
        <f aca="false">+VLOOKUP($A356,BASEdades!$A$3:$AA$283,5,FALSE())</f>
        <v>.mides: m3</v>
      </c>
      <c r="E358" s="341"/>
      <c r="F358" s="341"/>
      <c r="G358" s="341"/>
      <c r="H358" s="344"/>
      <c r="I358" s="370"/>
    </row>
    <row r="359" customFormat="false" ht="14.9" hidden="false" customHeight="false" outlineLevel="0" collapsed="false">
      <c r="B359" s="368"/>
      <c r="C359" s="368"/>
      <c r="D359" s="341" t="str">
        <f aca="false">+VLOOKUP($A356,BASEdades!$A$3:$AA$283,6,FALSE())</f>
        <v>.</v>
      </c>
      <c r="E359" s="341"/>
      <c r="F359" s="341"/>
      <c r="G359" s="341"/>
      <c r="H359" s="344"/>
      <c r="I359" s="370"/>
    </row>
    <row r="360" customFormat="false" ht="13.8" hidden="false" customHeight="false" outlineLevel="0" collapsed="false">
      <c r="B360" s="368"/>
      <c r="C360" s="368"/>
      <c r="D360" s="416" t="s">
        <v>1055</v>
      </c>
      <c r="E360" s="378" t="n">
        <f aca="false">+VLOOKUP($D360,PREUS!$B$1:$F$589,3,FALSE())</f>
        <v>22.5</v>
      </c>
      <c r="F360" s="378" t="str">
        <f aca="false">+VLOOKUP($D360,PREUS!$B$1:$F$589,4,FALSE())</f>
        <v>m3</v>
      </c>
      <c r="G360" s="418" t="n">
        <v>1.1</v>
      </c>
      <c r="H360" s="419" t="n">
        <f aca="false">E360*G360</f>
        <v>24.75</v>
      </c>
    </row>
    <row r="361" customFormat="false" ht="13.8" hidden="false" customHeight="false" outlineLevel="0" collapsed="false">
      <c r="B361" s="368"/>
      <c r="C361" s="368"/>
      <c r="D361" s="286" t="s">
        <v>1056</v>
      </c>
      <c r="E361" s="378" t="n">
        <f aca="false">+VLOOKUP($D361,PREUS!$B$1:$F$589,3,FALSE())</f>
        <v>90.97</v>
      </c>
      <c r="F361" s="378" t="str">
        <f aca="false">+VLOOKUP($D361,PREUS!$B$1:$F$589,4,FALSE())</f>
        <v>h</v>
      </c>
      <c r="G361" s="418" t="n">
        <v>0.527</v>
      </c>
      <c r="H361" s="419" t="n">
        <f aca="false">E361*G361</f>
        <v>47.94119</v>
      </c>
    </row>
    <row r="362" customFormat="false" ht="13.8" hidden="false" customHeight="false" outlineLevel="0" collapsed="false">
      <c r="B362" s="368"/>
      <c r="C362" s="368"/>
      <c r="D362" s="416" t="s">
        <v>986</v>
      </c>
      <c r="E362" s="378" t="n">
        <f aca="false">+VLOOKUP($D362,PREUS!$B$1:$F$589,3,FALSE())</f>
        <v>25.8</v>
      </c>
      <c r="F362" s="378" t="str">
        <f aca="false">+VLOOKUP($D362,PREUS!$B$1:$F$589,4,FALSE())</f>
        <v>h</v>
      </c>
      <c r="G362" s="418" t="n">
        <v>0.5265</v>
      </c>
      <c r="H362" s="419" t="n">
        <f aca="false">E362*G362</f>
        <v>13.5837</v>
      </c>
    </row>
    <row r="363" customFormat="false" ht="13.8" hidden="false" customHeight="false" outlineLevel="0" collapsed="false">
      <c r="B363" s="368"/>
      <c r="C363" s="368"/>
      <c r="D363" s="286" t="s">
        <v>987</v>
      </c>
      <c r="E363" s="379" t="n">
        <f aca="false">SUM(H359:H362)</f>
        <v>86.27489</v>
      </c>
      <c r="F363" s="403" t="s">
        <v>988</v>
      </c>
      <c r="G363" s="422" t="n">
        <v>0.02</v>
      </c>
      <c r="H363" s="419" t="n">
        <f aca="false">E363*G363</f>
        <v>1.7254978</v>
      </c>
    </row>
    <row r="364" customFormat="false" ht="13.8" hidden="false" customHeight="false" outlineLevel="0" collapsed="false">
      <c r="B364" s="368"/>
      <c r="C364" s="368"/>
      <c r="D364" s="350"/>
      <c r="E364" s="348"/>
      <c r="F364" s="348"/>
      <c r="G364" s="348"/>
      <c r="H364" s="344"/>
      <c r="I364" s="370"/>
    </row>
    <row r="365" customFormat="false" ht="13.8" hidden="false" customHeight="false" outlineLevel="0" collapsed="false">
      <c r="A365" s="329" t="s">
        <v>239</v>
      </c>
      <c r="B365" s="337"/>
      <c r="C365" s="337" t="str">
        <f aca="false">+VLOOKUP($A365,BASEdades!$A$3:$AA$283,3,FALSE())</f>
        <v>m</v>
      </c>
      <c r="D365" s="367" t="str">
        <f aca="false">+VLOOKUP($A365,BASEdades!$A$3:$AA$298,2,FALSE())</f>
        <v>Travesses de pi tractades per exterior</v>
      </c>
      <c r="E365" s="338"/>
      <c r="F365" s="338"/>
      <c r="G365" s="338"/>
      <c r="H365" s="340" t="n">
        <f aca="false">+VLOOKUP($A365,BASEdades!$A$3:$AA$283,7,FALSE())</f>
        <v>43.29</v>
      </c>
      <c r="I365" s="340" t="e">
        <f aca="false">#REF!*H365</f>
        <v>#REF!</v>
      </c>
    </row>
    <row r="366" customFormat="false" ht="92.25" hidden="false" customHeight="true" outlineLevel="0" collapsed="false">
      <c r="B366" s="368"/>
      <c r="C366" s="368"/>
      <c r="D366" s="353" t="str">
        <f aca="false">+VLOOKUP($A365,BASEdades!$A$3:$AA$283,4,FALSE())</f>
        <v>Subministrament i instal·lació de travessa de pi amb els cantos fresats, amb tractament autoclau amb cobertura d'ús 4 segons norma EN-335 de 250x20x10 cm, col·locada horitzontalment sobre el terreny. Inclou p/p de replanteig, excavació manual del terreny, selecció i tall de travesses, replé i compactació del terreny contigu i eliminació i neteja del material sobrant.</v>
      </c>
      <c r="E366" s="341"/>
      <c r="F366" s="341"/>
      <c r="G366" s="341"/>
      <c r="H366" s="344"/>
      <c r="I366" s="370"/>
    </row>
    <row r="367" customFormat="false" ht="14.9" hidden="false" customHeight="false" outlineLevel="0" collapsed="false">
      <c r="B367" s="368"/>
      <c r="C367" s="368"/>
      <c r="D367" s="341" t="str">
        <f aca="false">+VLOOKUP($A365,BASEdades!$A$3:$AA$283,5,FALSE())</f>
        <v>.mides travessa: 250x20x10cm</v>
      </c>
      <c r="E367" s="341"/>
      <c r="F367" s="341"/>
      <c r="G367" s="341"/>
      <c r="H367" s="344"/>
      <c r="I367" s="370"/>
    </row>
    <row r="368" customFormat="false" ht="14.9" hidden="false" customHeight="false" outlineLevel="0" collapsed="false">
      <c r="B368" s="368"/>
      <c r="C368" s="368"/>
      <c r="D368" s="341" t="str">
        <f aca="false">+VLOOKUP($A365,BASEdades!$A$3:$AA$283,6,FALSE())</f>
        <v>.</v>
      </c>
      <c r="E368" s="341"/>
      <c r="F368" s="341"/>
      <c r="G368" s="341"/>
      <c r="H368" s="344"/>
      <c r="I368" s="370"/>
    </row>
    <row r="369" customFormat="false" ht="13.8" hidden="false" customHeight="false" outlineLevel="0" collapsed="false">
      <c r="B369" s="368"/>
      <c r="C369" s="368"/>
      <c r="D369" s="416" t="s">
        <v>240</v>
      </c>
      <c r="E369" s="378" t="n">
        <f aca="false">+VLOOKUP($D369,PREUS!$B$1:$F$589,3,FALSE())</f>
        <v>12.88</v>
      </c>
      <c r="F369" s="378" t="str">
        <f aca="false">+VLOOKUP($D369,PREUS!$B$1:$F$589,4,FALSE())</f>
        <v>m</v>
      </c>
      <c r="G369" s="418" t="n">
        <v>1.05</v>
      </c>
      <c r="H369" s="419" t="n">
        <f aca="false">E369*G369</f>
        <v>13.524</v>
      </c>
    </row>
    <row r="370" customFormat="false" ht="13.8" hidden="false" customHeight="false" outlineLevel="0" collapsed="false">
      <c r="B370" s="368"/>
      <c r="C370" s="368"/>
      <c r="D370" s="286" t="s">
        <v>1046</v>
      </c>
      <c r="E370" s="378" t="n">
        <v>20</v>
      </c>
      <c r="F370" s="378" t="str">
        <f aca="false">+VLOOKUP($D370,PREUS!$B$1:$F$589,4,FALSE())</f>
        <v>kg</v>
      </c>
      <c r="G370" s="418" t="n">
        <v>0.007</v>
      </c>
      <c r="H370" s="419" t="n">
        <f aca="false">E370*G370</f>
        <v>0.14</v>
      </c>
    </row>
    <row r="371" customFormat="false" ht="13.8" hidden="false" customHeight="false" outlineLevel="0" collapsed="false">
      <c r="B371" s="368"/>
      <c r="C371" s="368"/>
      <c r="D371" s="416" t="s">
        <v>1047</v>
      </c>
      <c r="E371" s="378" t="n">
        <f aca="false">+VLOOKUP($D371,PREUS!$B$1:$F$589,3,FALSE())</f>
        <v>30.76</v>
      </c>
      <c r="F371" s="378" t="str">
        <f aca="false">+VLOOKUP($D371,PREUS!$B$1:$F$589,4,FALSE())</f>
        <v>h</v>
      </c>
      <c r="G371" s="418" t="n">
        <v>0.6</v>
      </c>
      <c r="H371" s="419" t="n">
        <f aca="false">E371*G371</f>
        <v>18.456</v>
      </c>
    </row>
    <row r="372" customFormat="false" ht="13.8" hidden="false" customHeight="false" outlineLevel="0" collapsed="false">
      <c r="B372" s="368"/>
      <c r="C372" s="368"/>
      <c r="D372" s="416" t="s">
        <v>986</v>
      </c>
      <c r="E372" s="378" t="n">
        <f aca="false">+VLOOKUP($D372,PREUS!$B$1:$F$589,3,FALSE())</f>
        <v>25.8</v>
      </c>
      <c r="F372" s="378" t="str">
        <f aca="false">+VLOOKUP($D372,PREUS!$B$1:$F$589,4,FALSE())</f>
        <v>h</v>
      </c>
      <c r="G372" s="418" t="n">
        <v>0.4</v>
      </c>
      <c r="H372" s="419" t="n">
        <f aca="false">E372*G372</f>
        <v>10.32</v>
      </c>
    </row>
    <row r="373" customFormat="false" ht="13.8" hidden="false" customHeight="false" outlineLevel="0" collapsed="false">
      <c r="B373" s="368"/>
      <c r="C373" s="368"/>
      <c r="D373" s="286" t="s">
        <v>987</v>
      </c>
      <c r="E373" s="379" t="n">
        <f aca="false">SUM(H367:H372)</f>
        <v>42.44</v>
      </c>
      <c r="F373" s="403" t="s">
        <v>988</v>
      </c>
      <c r="G373" s="422" t="n">
        <v>0.02</v>
      </c>
      <c r="H373" s="419" t="n">
        <f aca="false">E373*G373</f>
        <v>0.8488</v>
      </c>
    </row>
    <row r="374" customFormat="false" ht="13.8" hidden="false" customHeight="false" outlineLevel="0" collapsed="false">
      <c r="B374" s="368"/>
      <c r="C374" s="368"/>
      <c r="D374" s="376"/>
      <c r="E374" s="348"/>
      <c r="F374" s="348"/>
      <c r="G374" s="348"/>
      <c r="H374" s="344"/>
      <c r="I374" s="370"/>
    </row>
    <row r="375" customFormat="false" ht="13.8" hidden="false" customHeight="false" outlineLevel="0" collapsed="false">
      <c r="A375" s="329" t="s">
        <v>708</v>
      </c>
      <c r="B375" s="337"/>
      <c r="C375" s="337" t="str">
        <f aca="false">+VLOOKUP($A375,BASEdades!$A$3:$AA$283,3,FALSE())</f>
        <v>ut</v>
      </c>
      <c r="D375" s="367" t="str">
        <f aca="false">+VLOOKUP($A375,BASEdades!$A$3:$AA$298,2,FALSE())</f>
        <v>Porta de separació </v>
      </c>
      <c r="E375" s="338"/>
      <c r="F375" s="338"/>
      <c r="G375" s="338"/>
      <c r="H375" s="340" t="n">
        <f aca="false">+VLOOKUP($A375,BASEdades!$A$3:$AA$283,7,FALSE())</f>
        <v>616.18</v>
      </c>
      <c r="I375" s="340" t="e">
        <f aca="false">#REF!*H375</f>
        <v>#REF!</v>
      </c>
    </row>
    <row r="376" customFormat="false" ht="82.05" hidden="false" customHeight="false" outlineLevel="0" collapsed="false">
      <c r="B376" s="368"/>
      <c r="C376" s="368"/>
      <c r="D376" s="353" t="str">
        <f aca="false">+VLOOKUP($A375,BASEdades!$A$3:$AA$283,4,FALSE())</f>
        <v>Subministrament i col.locació de porta batent de panel fenòlic (WBP) de mides 60x67cm i Gruix 18mm, amb forats decoratius fixada a 2 muntants laterals de fusta de pi tractat amb autoclau de secció quadrada 7x7cm, de  65cm d'alt acabat i 85cm de separació entre muntants. Inclou les fixacions metàl.liques i muntatge.</v>
      </c>
      <c r="E376" s="341"/>
      <c r="F376" s="341"/>
      <c r="G376" s="341"/>
      <c r="H376" s="344"/>
      <c r="I376" s="370"/>
    </row>
    <row r="377" customFormat="false" ht="14.9" hidden="false" customHeight="false" outlineLevel="0" collapsed="false">
      <c r="B377" s="368"/>
      <c r="C377" s="368"/>
      <c r="D377" s="341" t="str">
        <f aca="false">+VLOOKUP($A375,BASEdades!$A$3:$AA$283,5,FALSE())</f>
        <v>.segons disseny</v>
      </c>
      <c r="E377" s="341"/>
      <c r="F377" s="341"/>
      <c r="G377" s="341"/>
      <c r="H377" s="344"/>
      <c r="I377" s="370"/>
    </row>
    <row r="378" customFormat="false" ht="14.9" hidden="false" customHeight="false" outlineLevel="0" collapsed="false">
      <c r="B378" s="368"/>
      <c r="C378" s="368"/>
      <c r="D378" s="341" t="str">
        <f aca="false">+VLOOKUP($A375,BASEdades!$A$3:$AA$283,6,FALSE())</f>
        <v>.</v>
      </c>
      <c r="E378" s="348"/>
      <c r="F378" s="348"/>
      <c r="G378" s="348"/>
      <c r="H378" s="344"/>
      <c r="I378" s="370"/>
    </row>
    <row r="379" customFormat="false" ht="13.8" hidden="false" customHeight="false" outlineLevel="0" collapsed="false">
      <c r="B379" s="368"/>
      <c r="C379" s="368"/>
      <c r="D379" s="416" t="s">
        <v>1057</v>
      </c>
      <c r="E379" s="378" t="n">
        <f aca="false">+VLOOKUP($D379,PREUS!$B$1:$F$589,3,FALSE())</f>
        <v>45.79</v>
      </c>
      <c r="F379" s="378" t="str">
        <f aca="false">+VLOOKUP($D379,PREUS!$B$1:$F$589,4,FALSE())</f>
        <v>m2</v>
      </c>
      <c r="G379" s="394" t="n">
        <v>2</v>
      </c>
      <c r="H379" s="419" t="n">
        <f aca="false">E379*G379</f>
        <v>91.58</v>
      </c>
    </row>
    <row r="380" customFormat="false" ht="13.8" hidden="false" customHeight="false" outlineLevel="0" collapsed="false">
      <c r="B380" s="368"/>
      <c r="C380" s="368"/>
      <c r="D380" s="416" t="s">
        <v>1058</v>
      </c>
      <c r="E380" s="378" t="n">
        <f aca="false">+VLOOKUP($D380,PREUS!$B$1:$F$589,3,FALSE())</f>
        <v>5.02</v>
      </c>
      <c r="F380" s="378" t="str">
        <f aca="false">+VLOOKUP($D380,PREUS!$B$1:$F$589,4,FALSE())</f>
        <v>m</v>
      </c>
      <c r="G380" s="394" t="n">
        <v>2</v>
      </c>
      <c r="H380" s="419" t="n">
        <f aca="false">E380*G380</f>
        <v>10.04</v>
      </c>
    </row>
    <row r="381" customFormat="false" ht="13.8" hidden="false" customHeight="false" outlineLevel="0" collapsed="false">
      <c r="B381" s="368"/>
      <c r="C381" s="368"/>
      <c r="D381" s="286" t="s">
        <v>1046</v>
      </c>
      <c r="E381" s="378" t="n">
        <v>20</v>
      </c>
      <c r="F381" s="378" t="str">
        <f aca="false">+VLOOKUP($D381,PREUS!$B$1:$F$589,4,FALSE())</f>
        <v>kg</v>
      </c>
      <c r="G381" s="394" t="n">
        <v>0.5</v>
      </c>
      <c r="H381" s="419" t="n">
        <f aca="false">E381*G381</f>
        <v>10</v>
      </c>
    </row>
    <row r="382" customFormat="false" ht="13.8" hidden="false" customHeight="false" outlineLevel="0" collapsed="false">
      <c r="B382" s="368"/>
      <c r="C382" s="368"/>
      <c r="D382" s="286" t="s">
        <v>1059</v>
      </c>
      <c r="E382" s="378" t="n">
        <v>20</v>
      </c>
      <c r="F382" s="378" t="e">
        <f aca="false">+VLOOKUP($D382,PREUS!$B$1:$F$589,4,FALSE())</f>
        <v>#N/A</v>
      </c>
      <c r="G382" s="394" t="n">
        <v>2</v>
      </c>
      <c r="H382" s="419" t="n">
        <f aca="false">E382*G382</f>
        <v>40</v>
      </c>
    </row>
    <row r="383" customFormat="false" ht="13.8" hidden="false" customHeight="false" outlineLevel="0" collapsed="false">
      <c r="B383" s="368"/>
      <c r="C383" s="368"/>
      <c r="D383" s="416" t="s">
        <v>1047</v>
      </c>
      <c r="E383" s="378" t="n">
        <f aca="false">+VLOOKUP($D383,PREUS!$B$1:$F$589,3,FALSE())</f>
        <v>30.76</v>
      </c>
      <c r="F383" s="378" t="str">
        <f aca="false">+VLOOKUP($D383,PREUS!$B$1:$F$589,4,FALSE())</f>
        <v>h</v>
      </c>
      <c r="G383" s="394" t="n">
        <v>8</v>
      </c>
      <c r="H383" s="419" t="n">
        <f aca="false">E383*G383</f>
        <v>246.08</v>
      </c>
    </row>
    <row r="384" customFormat="false" ht="13.8" hidden="false" customHeight="false" outlineLevel="0" collapsed="false">
      <c r="B384" s="368"/>
      <c r="C384" s="368"/>
      <c r="D384" s="416" t="s">
        <v>986</v>
      </c>
      <c r="E384" s="378" t="n">
        <f aca="false">+VLOOKUP($D384,PREUS!$B$1:$F$589,3,FALSE())</f>
        <v>25.8</v>
      </c>
      <c r="F384" s="378" t="str">
        <f aca="false">+VLOOKUP($D384,PREUS!$B$1:$F$589,4,FALSE())</f>
        <v>h</v>
      </c>
      <c r="G384" s="394" t="n">
        <v>8</v>
      </c>
      <c r="H384" s="419" t="n">
        <f aca="false">E384*G384</f>
        <v>206.4</v>
      </c>
    </row>
    <row r="385" customFormat="false" ht="13.8" hidden="false" customHeight="false" outlineLevel="0" collapsed="false">
      <c r="B385" s="368"/>
      <c r="C385" s="368"/>
      <c r="D385" s="286" t="s">
        <v>987</v>
      </c>
      <c r="E385" s="379" t="n">
        <f aca="false">SUM(H379:H384)</f>
        <v>604.1</v>
      </c>
      <c r="F385" s="403" t="s">
        <v>988</v>
      </c>
      <c r="G385" s="422" t="n">
        <v>0.02</v>
      </c>
      <c r="H385" s="419" t="n">
        <f aca="false">E385*G385</f>
        <v>12.082</v>
      </c>
    </row>
    <row r="386" customFormat="false" ht="13.8" hidden="false" customHeight="false" outlineLevel="0" collapsed="false">
      <c r="B386" s="368"/>
      <c r="C386" s="368"/>
      <c r="D386" s="350"/>
      <c r="E386" s="348"/>
      <c r="F386" s="348"/>
      <c r="G386" s="348"/>
      <c r="H386" s="344"/>
      <c r="I386" s="370"/>
    </row>
    <row r="387" customFormat="false" ht="13.8" hidden="false" customHeight="false" outlineLevel="0" collapsed="false">
      <c r="A387" s="329" t="s">
        <v>892</v>
      </c>
      <c r="B387" s="337"/>
      <c r="C387" s="337" t="str">
        <f aca="false">+VLOOKUP($A387,BASEdades!$A$3:$AA$283,3,FALSE())</f>
        <v>ut</v>
      </c>
      <c r="D387" s="367" t="str">
        <f aca="false">+VLOOKUP($A387,BASEdades!$A$3:$AA$298,2,FALSE())</f>
        <v>Tronc escala</v>
      </c>
      <c r="E387" s="338"/>
      <c r="F387" s="338"/>
      <c r="G387" s="338"/>
      <c r="H387" s="340" t="n">
        <f aca="false">+VLOOKUP($A387,BASEdades!$A$3:$AA$283,7,FALSE())</f>
        <v>320</v>
      </c>
      <c r="I387" s="340" t="e">
        <f aca="false">#REF!*H387</f>
        <v>#REF!</v>
      </c>
    </row>
    <row r="388" customFormat="false" ht="14.9" hidden="false" customHeight="false" outlineLevel="0" collapsed="false">
      <c r="B388" s="368"/>
      <c r="C388" s="368"/>
      <c r="D388" s="353" t="str">
        <f aca="false">+VLOOKUP($A387,BASEdades!$A$3:$AA$283,4,FALSE())</f>
        <v>Subministrament i instal.lació de tronc tallat amb graons.</v>
      </c>
      <c r="E388" s="341"/>
      <c r="F388" s="341"/>
      <c r="G388" s="341"/>
      <c r="H388" s="344"/>
      <c r="I388" s="370"/>
    </row>
    <row r="389" customFormat="false" ht="14.9" hidden="false" customHeight="false" outlineLevel="0" collapsed="false">
      <c r="B389" s="368"/>
      <c r="C389" s="368"/>
      <c r="D389" s="341" t="str">
        <f aca="false">+VLOOKUP($A387,BASEdades!$A$3:$AA$283,5,FALSE())</f>
        <v>.mides: Diàmetre 200cm Altura 240cm</v>
      </c>
      <c r="E389" s="341"/>
      <c r="F389" s="341"/>
      <c r="G389" s="341"/>
      <c r="H389" s="344"/>
      <c r="I389" s="370"/>
    </row>
    <row r="390" customFormat="false" ht="14.9" hidden="false" customHeight="false" outlineLevel="0" collapsed="false">
      <c r="B390" s="368"/>
      <c r="C390" s="368"/>
      <c r="D390" s="341" t="str">
        <f aca="false">+VLOOKUP($A387,BASEdades!$A$3:$AA$283,6,FALSE())</f>
        <v>.</v>
      </c>
      <c r="E390" s="348"/>
      <c r="F390" s="348"/>
      <c r="G390" s="348"/>
      <c r="H390" s="344"/>
      <c r="I390" s="370"/>
    </row>
    <row r="391" customFormat="false" ht="13.8" hidden="false" customHeight="false" outlineLevel="0" collapsed="false">
      <c r="B391" s="368"/>
      <c r="C391" s="368"/>
      <c r="D391" s="350"/>
      <c r="E391" s="348"/>
      <c r="F391" s="348"/>
      <c r="G391" s="348"/>
      <c r="H391" s="344"/>
      <c r="I391" s="370"/>
    </row>
    <row r="392" customFormat="false" ht="13.8" hidden="false" customHeight="false" outlineLevel="0" collapsed="false">
      <c r="A392" s="329" t="s">
        <v>565</v>
      </c>
      <c r="B392" s="337"/>
      <c r="C392" s="337" t="str">
        <f aca="false">+VLOOKUP($A392,BASEdades!$A$3:$AA$283,3,FALSE())</f>
        <v>ut</v>
      </c>
      <c r="D392" s="367" t="str">
        <f aca="false">+VLOOKUP($A392,BASEdades!$A$3:$AA$298,2,FALSE())</f>
        <v>Tobogan de polimer H90</v>
      </c>
      <c r="E392" s="338"/>
      <c r="F392" s="338"/>
      <c r="G392" s="338"/>
      <c r="H392" s="340" t="n">
        <f aca="false">+VLOOKUP($A392,BASEdades!$A$3:$AA$283,7,FALSE())</f>
        <v>748</v>
      </c>
      <c r="I392" s="340" t="e">
        <f aca="false">#REF!*H392</f>
        <v>#REF!</v>
      </c>
    </row>
    <row r="393" customFormat="false" ht="41.75" hidden="false" customHeight="false" outlineLevel="0" collapsed="false">
      <c r="B393" s="368"/>
      <c r="C393" s="368"/>
      <c r="D393" s="353" t="str">
        <f aca="false">+VLOOKUP($A392,BASEdades!$A$3:$AA$283,4,FALSE())</f>
        <v>Subministrament i col.locació de tobogan de polimer, moldejat segons rotomoldeo, d'alçada 90cm i amplària 66cm. Color taronja RAL 2010, 100% reciclat</v>
      </c>
      <c r="E393" s="341"/>
      <c r="F393" s="341"/>
      <c r="G393" s="341"/>
      <c r="H393" s="344"/>
      <c r="I393" s="370"/>
    </row>
    <row r="394" customFormat="false" ht="14.9" hidden="false" customHeight="false" outlineLevel="0" collapsed="false">
      <c r="B394" s="368"/>
      <c r="C394" s="368"/>
      <c r="D394" s="341" t="str">
        <f aca="false">+VLOOKUP($A392,BASEdades!$A$3:$AA$283,5,FALSE())</f>
        <v>.Mides del joc: alçada 90cm i 66cm amplada</v>
      </c>
      <c r="E394" s="341"/>
      <c r="F394" s="341"/>
      <c r="G394" s="341"/>
      <c r="H394" s="344"/>
      <c r="I394" s="370"/>
    </row>
    <row r="395" customFormat="false" ht="14.9" hidden="false" customHeight="false" outlineLevel="0" collapsed="false">
      <c r="B395" s="368"/>
      <c r="C395" s="368"/>
      <c r="D395" s="341" t="str">
        <f aca="false">+VLOOKUP($A392,BASEdades!$A$3:$AA$283,6,FALSE())</f>
        <v>.</v>
      </c>
      <c r="E395" s="348"/>
      <c r="F395" s="348"/>
      <c r="G395" s="348"/>
      <c r="H395" s="344"/>
      <c r="I395" s="370"/>
    </row>
    <row r="396" customFormat="false" ht="13.8" hidden="false" customHeight="false" outlineLevel="0" collapsed="false">
      <c r="B396" s="368"/>
      <c r="C396" s="368"/>
      <c r="D396" s="286" t="s">
        <v>1060</v>
      </c>
      <c r="E396" s="379" t="n">
        <f aca="false">+VLOOKUP($D396,PREUS!$B$1:$F$589,3,FALSE())</f>
        <v>498.2835</v>
      </c>
      <c r="F396" s="378" t="str">
        <f aca="false">+VLOOKUP($D396,PREUS!$B$1:$F$589,4,FALSE())</f>
        <v>ut</v>
      </c>
      <c r="G396" s="394" t="n">
        <v>1</v>
      </c>
      <c r="H396" s="419" t="n">
        <f aca="false">E396*G396</f>
        <v>498.2835</v>
      </c>
    </row>
    <row r="397" customFormat="false" ht="13.8" hidden="false" customHeight="false" outlineLevel="0" collapsed="false">
      <c r="B397" s="368"/>
      <c r="C397" s="368"/>
      <c r="D397" s="416" t="s">
        <v>989</v>
      </c>
      <c r="E397" s="378" t="n">
        <f aca="false">+VLOOKUP($D397,PREUS!$B$1:$F$589,3,FALSE())</f>
        <v>30.79</v>
      </c>
      <c r="F397" s="378" t="str">
        <f aca="false">+VLOOKUP($D397,PREUS!$B$1:$F$589,4,FALSE())</f>
        <v>h</v>
      </c>
      <c r="G397" s="394" t="n">
        <v>4</v>
      </c>
      <c r="H397" s="419" t="n">
        <f aca="false">E397*G397</f>
        <v>123.16</v>
      </c>
    </row>
    <row r="398" customFormat="false" ht="13.8" hidden="false" customHeight="false" outlineLevel="0" collapsed="false">
      <c r="B398" s="368"/>
      <c r="C398" s="368"/>
      <c r="D398" s="416" t="s">
        <v>986</v>
      </c>
      <c r="E398" s="378" t="n">
        <f aca="false">+VLOOKUP($D398,PREUS!$B$1:$F$589,3,FALSE())</f>
        <v>25.8</v>
      </c>
      <c r="F398" s="378" t="str">
        <f aca="false">+VLOOKUP($D398,PREUS!$B$1:$F$589,4,FALSE())</f>
        <v>h</v>
      </c>
      <c r="G398" s="394" t="n">
        <v>4</v>
      </c>
      <c r="H398" s="419" t="n">
        <f aca="false">E398*G398</f>
        <v>103.2</v>
      </c>
    </row>
    <row r="399" customFormat="false" ht="13.8" hidden="false" customHeight="false" outlineLevel="0" collapsed="false">
      <c r="B399" s="368"/>
      <c r="C399" s="368"/>
      <c r="D399" s="286" t="s">
        <v>1046</v>
      </c>
      <c r="E399" s="378" t="n">
        <v>20</v>
      </c>
      <c r="F399" s="378" t="str">
        <f aca="false">+VLOOKUP($D399,PREUS!$B$1:$F$589,4,FALSE())</f>
        <v>kg</v>
      </c>
      <c r="G399" s="418" t="n">
        <v>0.4345</v>
      </c>
      <c r="H399" s="419" t="n">
        <f aca="false">E399*G399</f>
        <v>8.69</v>
      </c>
    </row>
    <row r="400" customFormat="false" ht="13.8" hidden="false" customHeight="false" outlineLevel="0" collapsed="false">
      <c r="B400" s="368"/>
      <c r="C400" s="368"/>
      <c r="D400" s="286" t="s">
        <v>987</v>
      </c>
      <c r="E400" s="379" t="n">
        <f aca="false">SUM(H396:H399)</f>
        <v>733.3335</v>
      </c>
      <c r="F400" s="403" t="s">
        <v>988</v>
      </c>
      <c r="G400" s="422" t="n">
        <v>0.02</v>
      </c>
      <c r="H400" s="419" t="n">
        <f aca="false">E400*G400</f>
        <v>14.66667</v>
      </c>
    </row>
    <row r="401" customFormat="false" ht="13.8" hidden="false" customHeight="false" outlineLevel="0" collapsed="false">
      <c r="B401" s="368"/>
      <c r="C401" s="368"/>
      <c r="D401" s="350"/>
      <c r="E401" s="348"/>
      <c r="F401" s="348"/>
      <c r="G401" s="348"/>
      <c r="H401" s="344"/>
      <c r="I401" s="370"/>
    </row>
    <row r="402" customFormat="false" ht="13.8" hidden="false" customHeight="false" outlineLevel="0" collapsed="false">
      <c r="A402" s="329" t="s">
        <v>254</v>
      </c>
      <c r="B402" s="337"/>
      <c r="C402" s="337" t="str">
        <f aca="false">+VLOOKUP($A402,BASEdades!$A$3:$AA$283,3,FALSE())</f>
        <v>ut</v>
      </c>
      <c r="D402" s="367" t="str">
        <f aca="false">+VLOOKUP($A402,BASEdades!$A$3:$AA$298,2,FALSE())</f>
        <v>Troncs verticals</v>
      </c>
      <c r="E402" s="338"/>
      <c r="F402" s="338"/>
      <c r="G402" s="338"/>
      <c r="H402" s="340" t="n">
        <f aca="false">+VLOOKUP($A402,BASEdades!$A$3:$AA$283,7,FALSE())</f>
        <v>19</v>
      </c>
      <c r="I402" s="340" t="e">
        <f aca="false">#REF!*H402</f>
        <v>#REF!</v>
      </c>
    </row>
    <row r="403" customFormat="false" ht="68.65" hidden="false" customHeight="false" outlineLevel="0" collapsed="false">
      <c r="B403" s="368"/>
      <c r="C403" s="368"/>
      <c r="D403" s="353" t="str">
        <f aca="false">+VLOOKUP($A402,BASEdades!$A$3:$AA$283,4,FALSE())</f>
        <v>Subministrament i instal·lació de troncs d'acàcia polits i amb oli d'entre 14 i 24cm de diàmetre, col·locats verticalment sobre el terreny. Inclou p/p de replanteig, excavació manual del terreny, selecció i tall de troncs, replè i compactació del terreny contigu i eliminació i neteja del material sobrant.  Inclou mecanització.</v>
      </c>
      <c r="E403" s="341"/>
      <c r="F403" s="341"/>
      <c r="G403" s="341"/>
      <c r="H403" s="344"/>
      <c r="I403" s="370"/>
    </row>
    <row r="404" customFormat="false" ht="14.9" hidden="false" customHeight="false" outlineLevel="0" collapsed="false">
      <c r="B404" s="368"/>
      <c r="C404" s="368"/>
      <c r="D404" s="341" t="str">
        <f aca="false">+VLOOKUP($A402,BASEdades!$A$3:$AA$283,5,FALSE())</f>
        <v>.mides variades: 25-40cm</v>
      </c>
      <c r="E404" s="341"/>
      <c r="F404" s="341"/>
      <c r="G404" s="341"/>
      <c r="H404" s="344"/>
      <c r="I404" s="370"/>
    </row>
    <row r="405" customFormat="false" ht="14.9" hidden="false" customHeight="false" outlineLevel="0" collapsed="false">
      <c r="B405" s="368"/>
      <c r="C405" s="368"/>
      <c r="D405" s="341" t="str">
        <f aca="false">+VLOOKUP($A402,BASEdades!$A$3:$AA$283,6,FALSE())</f>
        <v>.</v>
      </c>
      <c r="E405" s="348"/>
      <c r="F405" s="348"/>
      <c r="G405" s="348"/>
      <c r="H405" s="344"/>
      <c r="I405" s="370"/>
    </row>
    <row r="406" customFormat="false" ht="13.8" hidden="false" customHeight="false" outlineLevel="0" collapsed="false">
      <c r="B406" s="368"/>
      <c r="C406" s="368"/>
      <c r="D406" s="416" t="s">
        <v>1061</v>
      </c>
      <c r="E406" s="378" t="n">
        <f aca="false">+VLOOKUP($D406,PREUS!$B$1:$F$589,3,FALSE())</f>
        <v>36.4</v>
      </c>
      <c r="F406" s="378" t="str">
        <f aca="false">+VLOOKUP($D406,PREUS!$B$1:$F$589,4,FALSE())</f>
        <v>m</v>
      </c>
      <c r="G406" s="394" t="n">
        <v>0.2</v>
      </c>
      <c r="H406" s="419" t="n">
        <f aca="false">E406*G406</f>
        <v>7.28</v>
      </c>
    </row>
    <row r="407" customFormat="false" ht="13.8" hidden="false" customHeight="false" outlineLevel="0" collapsed="false">
      <c r="B407" s="368"/>
      <c r="C407" s="368"/>
      <c r="D407" s="286" t="s">
        <v>1046</v>
      </c>
      <c r="E407" s="378" t="n">
        <v>20</v>
      </c>
      <c r="F407" s="378" t="str">
        <f aca="false">+VLOOKUP($D407,PREUS!$B$1:$F$589,4,FALSE())</f>
        <v>kg</v>
      </c>
      <c r="G407" s="418" t="n">
        <v>0.044</v>
      </c>
      <c r="H407" s="419" t="n">
        <f aca="false">E407*G407</f>
        <v>0.88</v>
      </c>
    </row>
    <row r="408" customFormat="false" ht="13.8" hidden="false" customHeight="false" outlineLevel="0" collapsed="false">
      <c r="B408" s="368"/>
      <c r="C408" s="368"/>
      <c r="D408" s="416" t="s">
        <v>1047</v>
      </c>
      <c r="E408" s="378" t="n">
        <f aca="false">+VLOOKUP($D408,PREUS!$B$1:$F$589,3,FALSE())</f>
        <v>30.76</v>
      </c>
      <c r="F408" s="378" t="str">
        <f aca="false">+VLOOKUP($D408,PREUS!$B$1:$F$589,4,FALSE())</f>
        <v>h</v>
      </c>
      <c r="G408" s="394" t="n">
        <v>0.185</v>
      </c>
      <c r="H408" s="419" t="n">
        <f aca="false">E408*G408</f>
        <v>5.6906</v>
      </c>
    </row>
    <row r="409" customFormat="false" ht="13.8" hidden="false" customHeight="false" outlineLevel="0" collapsed="false">
      <c r="B409" s="368"/>
      <c r="C409" s="368"/>
      <c r="D409" s="416" t="s">
        <v>986</v>
      </c>
      <c r="E409" s="378" t="n">
        <f aca="false">+VLOOKUP($D409,PREUS!$B$1:$F$589,3,FALSE())</f>
        <v>25.8</v>
      </c>
      <c r="F409" s="378" t="str">
        <f aca="false">+VLOOKUP($D409,PREUS!$B$1:$F$589,4,FALSE())</f>
        <v>h</v>
      </c>
      <c r="G409" s="394" t="n">
        <v>0.185</v>
      </c>
      <c r="H409" s="419" t="n">
        <f aca="false">E409*G409</f>
        <v>4.773</v>
      </c>
    </row>
    <row r="410" customFormat="false" ht="13.8" hidden="false" customHeight="false" outlineLevel="0" collapsed="false">
      <c r="B410" s="368"/>
      <c r="C410" s="368"/>
      <c r="D410" s="286" t="s">
        <v>987</v>
      </c>
      <c r="E410" s="379" t="n">
        <f aca="false">SUM(H406:H409)</f>
        <v>18.6236</v>
      </c>
      <c r="F410" s="403" t="s">
        <v>988</v>
      </c>
      <c r="G410" s="422" t="n">
        <v>0.02</v>
      </c>
      <c r="H410" s="419" t="n">
        <f aca="false">E410*G410</f>
        <v>0.372472</v>
      </c>
    </row>
    <row r="411" customFormat="false" ht="13.8" hidden="false" customHeight="false" outlineLevel="0" collapsed="false">
      <c r="B411" s="368"/>
      <c r="C411" s="368"/>
      <c r="D411" s="350"/>
      <c r="E411" s="348"/>
      <c r="F411" s="348"/>
      <c r="G411" s="348"/>
      <c r="H411" s="344"/>
      <c r="I411" s="370"/>
    </row>
    <row r="412" customFormat="false" ht="13.8" hidden="false" customHeight="false" outlineLevel="0" collapsed="false">
      <c r="A412" s="329" t="s">
        <v>250</v>
      </c>
      <c r="B412" s="337"/>
      <c r="C412" s="337" t="str">
        <f aca="false">+VLOOKUP($A412,BASEdades!$A$3:$AA$283,3,FALSE())</f>
        <v>m</v>
      </c>
      <c r="D412" s="367" t="str">
        <f aca="false">+VLOOKUP($A412,BASEdades!$A$3:$AA$298,2,FALSE())</f>
        <v>Troncs horitzontal</v>
      </c>
      <c r="E412" s="338"/>
      <c r="F412" s="338"/>
      <c r="G412" s="338"/>
      <c r="H412" s="340" t="n">
        <f aca="false">+VLOOKUP($A412,BASEdades!$A$3:$AA$283,7,FALSE())</f>
        <v>58</v>
      </c>
      <c r="I412" s="340" t="e">
        <f aca="false">#REF!*H412</f>
        <v>#REF!</v>
      </c>
    </row>
    <row r="413" customFormat="false" ht="82.05" hidden="false" customHeight="false" outlineLevel="0" collapsed="false">
      <c r="B413" s="368"/>
      <c r="C413" s="368"/>
      <c r="D413" s="353" t="str">
        <f aca="false">+VLOOKUP($A412,BASEdades!$A$3:$AA$283,4,FALSE())</f>
        <v>Subministrament i instal·lació de troncs d'acàcia polits i amb oli d'entre 14 i 24cm de diàmetre, col·locats horitzontalment sobre el terreny. Inclou p/p de replanteig, excavació manual del terreny, selecció i tall de troncs, replè i compactació del terreny contigu i eliminació i neteja del material sobrant.  Inclou mecanització.</v>
      </c>
      <c r="E413" s="341"/>
      <c r="F413" s="341"/>
      <c r="G413" s="341"/>
      <c r="H413" s="344"/>
      <c r="I413" s="370"/>
    </row>
    <row r="414" customFormat="false" ht="14.9" hidden="false" customHeight="false" outlineLevel="0" collapsed="false">
      <c r="B414" s="368"/>
      <c r="C414" s="368"/>
      <c r="D414" s="341" t="str">
        <f aca="false">+VLOOKUP($A412,BASEdades!$A$3:$AA$283,5,FALSE())</f>
        <v>.mides variades: 120-260cm</v>
      </c>
      <c r="E414" s="341"/>
      <c r="F414" s="341"/>
      <c r="G414" s="341"/>
      <c r="H414" s="344"/>
      <c r="I414" s="370"/>
    </row>
    <row r="415" customFormat="false" ht="14.9" hidden="false" customHeight="false" outlineLevel="0" collapsed="false">
      <c r="B415" s="368"/>
      <c r="C415" s="368"/>
      <c r="D415" s="341" t="str">
        <f aca="false">+VLOOKUP($A412,BASEdades!$A$3:$AA$283,6,FALSE())</f>
        <v>.</v>
      </c>
      <c r="E415" s="348"/>
      <c r="F415" s="348"/>
      <c r="G415" s="348"/>
      <c r="H415" s="344"/>
      <c r="I415" s="370"/>
    </row>
    <row r="416" customFormat="false" ht="13.8" hidden="false" customHeight="false" outlineLevel="0" collapsed="false">
      <c r="B416" s="368"/>
      <c r="C416" s="368"/>
      <c r="D416" s="416" t="s">
        <v>1061</v>
      </c>
      <c r="E416" s="378" t="n">
        <f aca="false">+VLOOKUP($D416,PREUS!$B$1:$F$589,3,FALSE())</f>
        <v>36.4</v>
      </c>
      <c r="F416" s="378" t="str">
        <f aca="false">+VLOOKUP($D416,PREUS!$B$1:$F$589,4,FALSE())</f>
        <v>m</v>
      </c>
      <c r="G416" s="418" t="n">
        <v>1.05</v>
      </c>
      <c r="H416" s="419" t="n">
        <f aca="false">E416*G416</f>
        <v>38.22</v>
      </c>
    </row>
    <row r="417" customFormat="false" ht="13.8" hidden="false" customHeight="false" outlineLevel="0" collapsed="false">
      <c r="B417" s="368"/>
      <c r="C417" s="368"/>
      <c r="D417" s="286" t="s">
        <v>1046</v>
      </c>
      <c r="E417" s="378" t="n">
        <v>20</v>
      </c>
      <c r="F417" s="378" t="str">
        <f aca="false">+VLOOKUP($D417,PREUS!$B$1:$F$589,4,FALSE())</f>
        <v>kg</v>
      </c>
      <c r="G417" s="418" t="n">
        <v>0.1</v>
      </c>
      <c r="H417" s="419" t="n">
        <f aca="false">E417*G417</f>
        <v>2</v>
      </c>
    </row>
    <row r="418" customFormat="false" ht="13.8" hidden="false" customHeight="false" outlineLevel="0" collapsed="false">
      <c r="B418" s="368"/>
      <c r="C418" s="368"/>
      <c r="D418" s="416" t="s">
        <v>1047</v>
      </c>
      <c r="E418" s="378" t="n">
        <f aca="false">+VLOOKUP($D418,PREUS!$B$1:$F$589,3,FALSE())</f>
        <v>30.76</v>
      </c>
      <c r="F418" s="378" t="str">
        <f aca="false">+VLOOKUP($D418,PREUS!$B$1:$F$589,4,FALSE())</f>
        <v>h</v>
      </c>
      <c r="G418" s="418" t="n">
        <v>0.294</v>
      </c>
      <c r="H418" s="419" t="n">
        <f aca="false">E418*G418</f>
        <v>9.04344</v>
      </c>
    </row>
    <row r="419" customFormat="false" ht="13.8" hidden="false" customHeight="false" outlineLevel="0" collapsed="false">
      <c r="B419" s="368"/>
      <c r="C419" s="368"/>
      <c r="D419" s="416" t="s">
        <v>986</v>
      </c>
      <c r="E419" s="378" t="n">
        <f aca="false">+VLOOKUP($D419,PREUS!$B$1:$F$589,3,FALSE())</f>
        <v>25.8</v>
      </c>
      <c r="F419" s="378" t="str">
        <f aca="false">+VLOOKUP($D419,PREUS!$B$1:$F$589,4,FALSE())</f>
        <v>h</v>
      </c>
      <c r="G419" s="418" t="n">
        <v>0.2945</v>
      </c>
      <c r="H419" s="419" t="n">
        <f aca="false">E419*G419</f>
        <v>7.5981</v>
      </c>
    </row>
    <row r="420" customFormat="false" ht="13.8" hidden="false" customHeight="false" outlineLevel="0" collapsed="false">
      <c r="B420" s="368"/>
      <c r="C420" s="368"/>
      <c r="D420" s="286" t="s">
        <v>987</v>
      </c>
      <c r="E420" s="379" t="n">
        <f aca="false">SUM(H416:H419)</f>
        <v>56.86154</v>
      </c>
      <c r="F420" s="403" t="s">
        <v>988</v>
      </c>
      <c r="G420" s="422" t="n">
        <v>0.02</v>
      </c>
      <c r="H420" s="419" t="n">
        <f aca="false">E420*G420</f>
        <v>1.1372308</v>
      </c>
    </row>
    <row r="421" s="277" customFormat="true" ht="13.8" hidden="false" customHeight="false" outlineLevel="0" collapsed="false">
      <c r="B421" s="361"/>
      <c r="C421" s="361"/>
      <c r="D421" s="351"/>
      <c r="E421" s="352"/>
      <c r="F421" s="352"/>
      <c r="G421" s="352"/>
      <c r="H421" s="359"/>
      <c r="I421" s="366"/>
      <c r="M421" s="0"/>
    </row>
    <row r="422" customFormat="false" ht="13.8" hidden="false" customHeight="false" outlineLevel="0" collapsed="false">
      <c r="A422" s="329" t="s">
        <v>218</v>
      </c>
      <c r="B422" s="337"/>
      <c r="C422" s="337" t="str">
        <f aca="false">+VLOOKUP($A422,BASEdades!$A$3:$AA$283,3,FALSE())</f>
        <v>m3</v>
      </c>
      <c r="D422" s="367" t="str">
        <f aca="false">+VLOOKUP($A422,BASEdades!$A$3:$AA$298,2,FALSE())</f>
        <v>Àrid ull de perdiu</v>
      </c>
      <c r="E422" s="338"/>
      <c r="F422" s="338"/>
      <c r="G422" s="338"/>
      <c r="H422" s="340" t="n">
        <f aca="false">+VLOOKUP($A422,BASEdades!$A$3:$AA$283,7,FALSE())</f>
        <v>114.666666666667</v>
      </c>
      <c r="I422" s="340" t="e">
        <f aca="false">#REF!*H422</f>
        <v>#REF!</v>
      </c>
    </row>
    <row r="423" customFormat="false" ht="41.75" hidden="false" customHeight="false" outlineLevel="0" collapsed="false">
      <c r="B423" s="368"/>
      <c r="C423" s="368"/>
      <c r="D423" s="353" t="str">
        <f aca="false">+VLOOKUP($A422,BASEdades!$A$3:$AA$283,4,FALSE())</f>
        <v>Subministrament i estesa de paviment d'àrid ull de perdiu, rentat,  de grandària màxima 40 a 80 mm i cares arrodonides, amb estesa del material, amb mitjans manuals</v>
      </c>
      <c r="E423" s="341"/>
      <c r="F423" s="341"/>
      <c r="G423" s="341"/>
      <c r="H423" s="344"/>
      <c r="I423" s="370"/>
    </row>
    <row r="424" customFormat="false" ht="14.9" hidden="false" customHeight="false" outlineLevel="0" collapsed="false">
      <c r="B424" s="368"/>
      <c r="C424" s="368"/>
      <c r="D424" s="341" t="str">
        <f aca="false">+VLOOKUP($A422,BASEdades!$A$3:$AA$283,5,FALSE())</f>
        <v>.mides: m3</v>
      </c>
      <c r="E424" s="341"/>
      <c r="F424" s="341"/>
      <c r="G424" s="341"/>
      <c r="H424" s="344"/>
      <c r="I424" s="370"/>
    </row>
    <row r="425" customFormat="false" ht="14.9" hidden="false" customHeight="false" outlineLevel="0" collapsed="false">
      <c r="B425" s="368"/>
      <c r="C425" s="368"/>
      <c r="D425" s="341" t="str">
        <f aca="false">+VLOOKUP($A422,BASEdades!$A$3:$AA$283,6,FALSE())</f>
        <v>.</v>
      </c>
      <c r="E425" s="348"/>
      <c r="F425" s="348"/>
      <c r="G425" s="348"/>
      <c r="H425" s="344"/>
      <c r="I425" s="370"/>
    </row>
    <row r="426" customFormat="false" ht="13.8" hidden="false" customHeight="false" outlineLevel="0" collapsed="false">
      <c r="B426" s="368"/>
      <c r="C426" s="368"/>
      <c r="D426" s="416" t="s">
        <v>219</v>
      </c>
      <c r="E426" s="378" t="n">
        <f aca="false">+VLOOKUP($D426,PREUS!$B$1:$F$589,3,FALSE())</f>
        <v>36</v>
      </c>
      <c r="F426" s="378" t="str">
        <f aca="false">+VLOOKUP($D426,PREUS!$B$1:$F$589,4,FALSE())</f>
        <v>m3</v>
      </c>
      <c r="G426" s="418" t="n">
        <v>1.05</v>
      </c>
      <c r="H426" s="419" t="n">
        <f aca="false">E426*G426</f>
        <v>37.8</v>
      </c>
    </row>
    <row r="427" customFormat="false" ht="13.8" hidden="false" customHeight="false" outlineLevel="0" collapsed="false">
      <c r="B427" s="368"/>
      <c r="C427" s="368"/>
      <c r="D427" s="416" t="s">
        <v>986</v>
      </c>
      <c r="E427" s="378" t="n">
        <f aca="false">+VLOOKUP($D427,PREUS!$B$1:$F$589,3,FALSE())</f>
        <v>25.8</v>
      </c>
      <c r="F427" s="378" t="str">
        <f aca="false">+VLOOKUP($D427,PREUS!$B$1:$F$589,4,FALSE())</f>
        <v>h</v>
      </c>
      <c r="G427" s="418" t="n">
        <v>1.4273</v>
      </c>
      <c r="H427" s="419" t="n">
        <f aca="false">E427*G427</f>
        <v>36.82434</v>
      </c>
    </row>
    <row r="428" customFormat="false" ht="13.8" hidden="false" customHeight="false" outlineLevel="0" collapsed="false">
      <c r="B428" s="368"/>
      <c r="C428" s="368"/>
      <c r="D428" s="286" t="s">
        <v>987</v>
      </c>
      <c r="E428" s="379" t="n">
        <f aca="false">SUM(H426:H427)</f>
        <v>74.62434</v>
      </c>
      <c r="F428" s="403" t="s">
        <v>988</v>
      </c>
      <c r="G428" s="422" t="n">
        <v>0.02</v>
      </c>
      <c r="H428" s="419" t="n">
        <f aca="false">E428*G428</f>
        <v>1.4924868</v>
      </c>
    </row>
    <row r="429" customFormat="false" ht="13.8" hidden="false" customHeight="false" outlineLevel="0" collapsed="false">
      <c r="B429" s="368"/>
      <c r="C429" s="368"/>
      <c r="D429" s="350"/>
      <c r="E429" s="348"/>
      <c r="F429" s="348"/>
      <c r="G429" s="348"/>
      <c r="H429" s="344"/>
      <c r="I429" s="370"/>
    </row>
    <row r="430" customFormat="false" ht="13.8" hidden="false" customHeight="false" outlineLevel="0" collapsed="false">
      <c r="A430" s="329" t="s">
        <v>221</v>
      </c>
      <c r="B430" s="337"/>
      <c r="C430" s="337" t="str">
        <f aca="false">+VLOOKUP($A430,BASEdades!$A$3:$AA$283,3,FALSE())</f>
        <v>m3</v>
      </c>
      <c r="D430" s="367" t="str">
        <f aca="false">+VLOOKUP($A430,BASEdades!$A$3:$AA$298,2,FALSE())</f>
        <v>Grava de pedrera de pedra granítica, Ø40/70 mm</v>
      </c>
      <c r="E430" s="338"/>
      <c r="F430" s="338"/>
      <c r="G430" s="338"/>
      <c r="H430" s="340" t="n">
        <f aca="false">+VLOOKUP($A430,BASEdades!$A$3:$AA$283,7,FALSE())</f>
        <v>65.7</v>
      </c>
      <c r="I430" s="340" t="e">
        <f aca="false">#REF!*H430</f>
        <v>#REF!</v>
      </c>
    </row>
    <row r="431" customFormat="false" ht="41.75" hidden="false" customHeight="false" outlineLevel="0" collapsed="false">
      <c r="B431" s="368"/>
      <c r="C431" s="368"/>
      <c r="D431" s="353" t="str">
        <f aca="false">+VLOOKUP($A430,BASEdades!$A$3:$AA$283,4,FALSE())</f>
        <v>Aportació i estesa de grava de pedrera de pedra granítica, Ø40/70 mm subministrada amb big bag i estesa amb mitjans manuals.</v>
      </c>
      <c r="E431" s="341"/>
      <c r="F431" s="341"/>
      <c r="G431" s="341"/>
      <c r="H431" s="344"/>
      <c r="I431" s="370"/>
    </row>
    <row r="432" customFormat="false" ht="14.9" hidden="false" customHeight="false" outlineLevel="0" collapsed="false">
      <c r="B432" s="368"/>
      <c r="C432" s="368"/>
      <c r="D432" s="341" t="str">
        <f aca="false">+VLOOKUP($A430,BASEdades!$A$3:$AA$283,5,FALSE())</f>
        <v>.mides: m3</v>
      </c>
      <c r="E432" s="341"/>
      <c r="F432" s="341"/>
      <c r="G432" s="341"/>
      <c r="H432" s="344"/>
      <c r="I432" s="370"/>
    </row>
    <row r="433" customFormat="false" ht="14.9" hidden="false" customHeight="false" outlineLevel="0" collapsed="false">
      <c r="B433" s="368"/>
      <c r="C433" s="368"/>
      <c r="D433" s="341" t="str">
        <f aca="false">+VLOOKUP($A430,BASEdades!$A$3:$AA$283,6,FALSE())</f>
        <v>.</v>
      </c>
      <c r="E433" s="348"/>
      <c r="F433" s="348"/>
      <c r="G433" s="348"/>
      <c r="H433" s="344"/>
      <c r="I433" s="370"/>
    </row>
    <row r="434" customFormat="false" ht="13.8" hidden="false" customHeight="false" outlineLevel="0" collapsed="false">
      <c r="B434" s="368"/>
      <c r="C434" s="368"/>
      <c r="D434" s="416" t="s">
        <v>1012</v>
      </c>
      <c r="E434" s="378" t="n">
        <f aca="false">+VLOOKUP($D434,PREUS!$B$1:$F$589,3,FALSE())</f>
        <v>22.39</v>
      </c>
      <c r="F434" s="378" t="str">
        <f aca="false">+VLOOKUP($D434,PREUS!$B$1:$F$589,4,FALSE())</f>
        <v>m3</v>
      </c>
      <c r="G434" s="418" t="n">
        <v>1.05</v>
      </c>
      <c r="H434" s="419" t="n">
        <f aca="false">E434*G434</f>
        <v>23.5095</v>
      </c>
    </row>
    <row r="435" customFormat="false" ht="13.8" hidden="false" customHeight="false" outlineLevel="0" collapsed="false">
      <c r="B435" s="368"/>
      <c r="C435" s="368"/>
      <c r="D435" s="416" t="s">
        <v>986</v>
      </c>
      <c r="E435" s="378" t="n">
        <f aca="false">+VLOOKUP($D435,PREUS!$B$1:$F$589,3,FALSE())</f>
        <v>25.8</v>
      </c>
      <c r="F435" s="378" t="str">
        <f aca="false">+VLOOKUP($D435,PREUS!$B$1:$F$589,4,FALSE())</f>
        <v>h</v>
      </c>
      <c r="G435" s="418" t="n">
        <v>1.5852</v>
      </c>
      <c r="H435" s="419" t="n">
        <f aca="false">E435*G435</f>
        <v>40.89816</v>
      </c>
    </row>
    <row r="436" customFormat="false" ht="13.8" hidden="false" customHeight="false" outlineLevel="0" collapsed="false">
      <c r="B436" s="368"/>
      <c r="C436" s="368"/>
      <c r="D436" s="286" t="s">
        <v>987</v>
      </c>
      <c r="E436" s="379" t="n">
        <f aca="false">SUM(H434:H435)</f>
        <v>64.40766</v>
      </c>
      <c r="F436" s="403" t="s">
        <v>988</v>
      </c>
      <c r="G436" s="422" t="n">
        <v>0.02</v>
      </c>
      <c r="H436" s="419" t="n">
        <f aca="false">E436*G436</f>
        <v>1.2881532</v>
      </c>
    </row>
    <row r="437" customFormat="false" ht="13.8" hidden="false" customHeight="false" outlineLevel="0" collapsed="false">
      <c r="B437" s="368"/>
      <c r="C437" s="368"/>
      <c r="D437" s="350"/>
      <c r="E437" s="348"/>
      <c r="F437" s="348"/>
      <c r="G437" s="348"/>
      <c r="H437" s="344"/>
      <c r="I437" s="370"/>
    </row>
    <row r="438" s="277" customFormat="true" ht="13.8" hidden="false" customHeight="false" outlineLevel="0" collapsed="false">
      <c r="B438" s="361"/>
      <c r="C438" s="361"/>
      <c r="D438" s="351"/>
      <c r="E438" s="352"/>
      <c r="F438" s="352"/>
      <c r="G438" s="352"/>
      <c r="H438" s="359"/>
      <c r="I438" s="366"/>
      <c r="M438" s="0"/>
    </row>
    <row r="439" customFormat="false" ht="13.8" hidden="false" customHeight="false" outlineLevel="0" collapsed="false">
      <c r="A439" s="329" t="s">
        <v>205</v>
      </c>
      <c r="B439" s="337"/>
      <c r="C439" s="337" t="str">
        <f aca="false">+VLOOKUP($A439,BASEdades!$A$3:$AA$283,3,FALSE())</f>
        <v>m3</v>
      </c>
      <c r="D439" s="367" t="str">
        <f aca="false">+VLOOKUP($A439,BASEdades!$A$3:$AA$298,2,FALSE())</f>
        <v>Paviment de sauló</v>
      </c>
      <c r="E439" s="338"/>
      <c r="F439" s="338"/>
      <c r="G439" s="338"/>
      <c r="H439" s="340" t="n">
        <f aca="false">+VLOOKUP($A439,BASEdades!$A$3:$AA$283,7,FALSE())</f>
        <v>92</v>
      </c>
      <c r="I439" s="340" t="e">
        <f aca="false">#REF!*H439</f>
        <v>#REF!</v>
      </c>
    </row>
    <row r="440" customFormat="false" ht="41.75" hidden="false" customHeight="false" outlineLevel="0" collapsed="false">
      <c r="B440" s="368"/>
      <c r="C440" s="368"/>
      <c r="D440" s="353" t="str">
        <f aca="false">+VLOOKUP($A439,BASEdades!$A$3:$AA$283,4,FALSE())</f>
        <v>Subministrament i estesa de sauló com a paviment amb mitjans manuals. Base de sauló, amb estesa i piconatge del material al 95 % del PM.</v>
      </c>
      <c r="E440" s="341"/>
      <c r="F440" s="341"/>
      <c r="G440" s="341"/>
      <c r="H440" s="344"/>
      <c r="I440" s="370"/>
    </row>
    <row r="441" customFormat="false" ht="14.9" hidden="false" customHeight="false" outlineLevel="0" collapsed="false">
      <c r="B441" s="368"/>
      <c r="C441" s="368"/>
      <c r="D441" s="341" t="str">
        <f aca="false">+VLOOKUP($A439,BASEdades!$A$3:$AA$283,5,FALSE())</f>
        <v>.mides: m3</v>
      </c>
      <c r="E441" s="341"/>
      <c r="F441" s="341"/>
      <c r="G441" s="341"/>
      <c r="H441" s="344"/>
      <c r="I441" s="370"/>
    </row>
    <row r="442" customFormat="false" ht="14.9" hidden="false" customHeight="false" outlineLevel="0" collapsed="false">
      <c r="B442" s="368"/>
      <c r="C442" s="368"/>
      <c r="D442" s="341" t="str">
        <f aca="false">+VLOOKUP($A439,BASEdades!$A$3:$AA$283,6,FALSE())</f>
        <v>.</v>
      </c>
      <c r="E442" s="348"/>
      <c r="F442" s="348"/>
      <c r="G442" s="348"/>
      <c r="H442" s="344"/>
      <c r="I442" s="370"/>
    </row>
    <row r="443" customFormat="false" ht="13.8" hidden="false" customHeight="false" outlineLevel="0" collapsed="false">
      <c r="B443" s="368"/>
      <c r="C443" s="368"/>
      <c r="D443" s="416" t="s">
        <v>1062</v>
      </c>
      <c r="E443" s="378" t="n">
        <f aca="false">+VLOOKUP($D443,PREUS!$B$1:$F$589,3,FALSE())</f>
        <v>40.63</v>
      </c>
      <c r="F443" s="378" t="str">
        <f aca="false">+VLOOKUP($D443,PREUS!$B$1:$F$589,4,FALSE())</f>
        <v>m3</v>
      </c>
      <c r="G443" s="418" t="n">
        <v>1.05</v>
      </c>
      <c r="H443" s="419" t="n">
        <f aca="false">E443*G443</f>
        <v>42.6615</v>
      </c>
    </row>
    <row r="444" customFormat="false" ht="13.8" hidden="false" customHeight="false" outlineLevel="0" collapsed="false">
      <c r="B444" s="368"/>
      <c r="C444" s="368"/>
      <c r="D444" s="416" t="s">
        <v>986</v>
      </c>
      <c r="E444" s="378" t="n">
        <f aca="false">+VLOOKUP($D444,PREUS!$B$1:$F$589,3,FALSE())</f>
        <v>25.8</v>
      </c>
      <c r="F444" s="378" t="str">
        <f aca="false">+VLOOKUP($D444,PREUS!$B$1:$F$589,4,FALSE())</f>
        <v>h</v>
      </c>
      <c r="G444" s="418" t="n">
        <v>1.8423</v>
      </c>
      <c r="H444" s="419" t="n">
        <f aca="false">E444*G444</f>
        <v>47.53134</v>
      </c>
    </row>
    <row r="445" customFormat="false" ht="13.8" hidden="false" customHeight="false" outlineLevel="0" collapsed="false">
      <c r="B445" s="368"/>
      <c r="C445" s="368"/>
      <c r="D445" s="286" t="s">
        <v>987</v>
      </c>
      <c r="E445" s="379" t="n">
        <f aca="false">SUM(H443:H444)</f>
        <v>90.19284</v>
      </c>
      <c r="F445" s="403" t="s">
        <v>988</v>
      </c>
      <c r="G445" s="422" t="n">
        <v>0.02</v>
      </c>
      <c r="H445" s="419" t="n">
        <f aca="false">E445*G445</f>
        <v>1.8038568</v>
      </c>
    </row>
    <row r="446" customFormat="false" ht="13.8" hidden="false" customHeight="false" outlineLevel="0" collapsed="false">
      <c r="B446" s="368"/>
      <c r="C446" s="368"/>
      <c r="D446" s="350"/>
      <c r="E446" s="348"/>
      <c r="F446" s="348"/>
      <c r="G446" s="348"/>
      <c r="H446" s="344"/>
      <c r="I446" s="370"/>
    </row>
    <row r="447" customFormat="false" ht="13.8" hidden="false" customHeight="false" outlineLevel="0" collapsed="false">
      <c r="A447" s="329" t="s">
        <v>208</v>
      </c>
      <c r="B447" s="337"/>
      <c r="C447" s="337" t="str">
        <f aca="false">+VLOOKUP($A447,BASEdades!$A$3:$AA$283,3,FALSE())</f>
        <v>m3</v>
      </c>
      <c r="D447" s="367" t="str">
        <f aca="false">+VLOOKUP($A447,BASEdades!$A$3:$AA$298,2,FALSE())</f>
        <v>Sorra per sorral</v>
      </c>
      <c r="E447" s="338"/>
      <c r="F447" s="338"/>
      <c r="G447" s="338"/>
      <c r="H447" s="340" t="n">
        <f aca="false">+VLOOKUP($A447,BASEdades!$A$3:$AA$283,7,FALSE())</f>
        <v>136.173333333333</v>
      </c>
      <c r="I447" s="340" t="e">
        <f aca="false">#REF!*H447</f>
        <v>#REF!</v>
      </c>
    </row>
    <row r="448" customFormat="false" ht="41.75" hidden="false" customHeight="false" outlineLevel="0" collapsed="false">
      <c r="B448" s="368"/>
      <c r="C448" s="368"/>
      <c r="D448" s="353" t="str">
        <f aca="false">+VLOOKUP($A447,BASEdades!$A$3:$AA$283,4,FALSE())</f>
        <v>Subministrament i estesa de barreja de sorra de 0.2 a 2 mm de gruix rentada sense partícules de fang ni argiles, amb estesa i nivellat de material. Inclou estesa.</v>
      </c>
      <c r="E448" s="341"/>
      <c r="F448" s="341"/>
      <c r="G448" s="341"/>
      <c r="H448" s="344"/>
      <c r="I448" s="370"/>
    </row>
    <row r="449" customFormat="false" ht="14.9" hidden="false" customHeight="false" outlineLevel="0" collapsed="false">
      <c r="B449" s="368"/>
      <c r="C449" s="368"/>
      <c r="D449" s="341" t="str">
        <f aca="false">+VLOOKUP($A447,BASEdades!$A$3:$AA$283,5,FALSE())</f>
        <v>.mides: m3</v>
      </c>
      <c r="E449" s="341"/>
      <c r="F449" s="341"/>
      <c r="G449" s="341"/>
      <c r="H449" s="344"/>
      <c r="I449" s="370"/>
    </row>
    <row r="450" customFormat="false" ht="14.9" hidden="false" customHeight="false" outlineLevel="0" collapsed="false">
      <c r="B450" s="368"/>
      <c r="C450" s="368"/>
      <c r="D450" s="341" t="str">
        <f aca="false">+VLOOKUP($A447,BASEdades!$A$3:$AA$283,6,FALSE())</f>
        <v>.</v>
      </c>
      <c r="E450" s="348"/>
      <c r="F450" s="348"/>
      <c r="G450" s="348"/>
      <c r="H450" s="344"/>
      <c r="I450" s="370"/>
    </row>
    <row r="451" customFormat="false" ht="13.8" hidden="false" customHeight="false" outlineLevel="0" collapsed="false">
      <c r="B451" s="368"/>
      <c r="C451" s="368"/>
      <c r="D451" s="416" t="s">
        <v>1063</v>
      </c>
      <c r="E451" s="378" t="n">
        <f aca="false">+VLOOKUP($D451,PREUS!$B$1:$F$589,3,FALSE())</f>
        <v>42.55</v>
      </c>
      <c r="F451" s="378" t="str">
        <f aca="false">+VLOOKUP($D451,PREUS!$B$1:$F$589,4,FALSE())</f>
        <v>m3</v>
      </c>
      <c r="G451" s="418" t="n">
        <v>1.05</v>
      </c>
      <c r="H451" s="419" t="n">
        <f aca="false">E451*G451</f>
        <v>44.6775</v>
      </c>
    </row>
    <row r="452" customFormat="false" ht="13.8" hidden="false" customHeight="false" outlineLevel="0" collapsed="false">
      <c r="B452" s="368"/>
      <c r="C452" s="368"/>
      <c r="D452" s="416" t="s">
        <v>986</v>
      </c>
      <c r="E452" s="378" t="n">
        <f aca="false">+VLOOKUP($D452,PREUS!$B$1:$F$589,3,FALSE())</f>
        <v>25.8</v>
      </c>
      <c r="F452" s="378" t="str">
        <f aca="false">+VLOOKUP($D452,PREUS!$B$1:$F$589,4,FALSE())</f>
        <v>h</v>
      </c>
      <c r="G452" s="418" t="n">
        <v>3.0965</v>
      </c>
      <c r="H452" s="419" t="n">
        <f aca="false">E452*G452</f>
        <v>79.8897</v>
      </c>
    </row>
    <row r="453" customFormat="false" ht="13.8" hidden="false" customHeight="false" outlineLevel="0" collapsed="false">
      <c r="B453" s="368"/>
      <c r="C453" s="368"/>
      <c r="D453" s="286" t="s">
        <v>987</v>
      </c>
      <c r="E453" s="379" t="n">
        <f aca="false">SUM(H451:H452)</f>
        <v>124.5672</v>
      </c>
      <c r="F453" s="403" t="s">
        <v>988</v>
      </c>
      <c r="G453" s="422" t="n">
        <v>0.02</v>
      </c>
      <c r="H453" s="419" t="n">
        <f aca="false">E453*G453</f>
        <v>2.491344</v>
      </c>
    </row>
    <row r="454" customFormat="false" ht="13.8" hidden="false" customHeight="false" outlineLevel="0" collapsed="false">
      <c r="B454" s="368"/>
      <c r="C454" s="368"/>
      <c r="D454" s="350"/>
      <c r="E454" s="348"/>
      <c r="F454" s="348"/>
      <c r="G454" s="348"/>
      <c r="H454" s="344"/>
      <c r="I454" s="370"/>
    </row>
    <row r="455" s="277" customFormat="true" ht="13.8" hidden="false" customHeight="false" outlineLevel="0" collapsed="false">
      <c r="B455" s="361"/>
      <c r="C455" s="361"/>
      <c r="D455" s="351"/>
      <c r="E455" s="352"/>
      <c r="F455" s="352"/>
      <c r="G455" s="352"/>
      <c r="H455" s="359"/>
      <c r="I455" s="366"/>
      <c r="M455" s="0"/>
    </row>
    <row r="456" customFormat="false" ht="13.8" hidden="false" customHeight="false" outlineLevel="0" collapsed="false">
      <c r="A456" s="329" t="s">
        <v>397</v>
      </c>
      <c r="B456" s="337"/>
      <c r="C456" s="337" t="str">
        <f aca="false">+VLOOKUP($A456,BASEdades!$A$3:$AA$283,3,FALSE())</f>
        <v>ut</v>
      </c>
      <c r="D456" s="367" t="str">
        <f aca="false">+VLOOKUP($A456,BASEdades!$A$3:$AA$298,2,FALSE())</f>
        <v>Obrador Molí per bressol</v>
      </c>
      <c r="E456" s="338"/>
      <c r="F456" s="338"/>
      <c r="G456" s="338"/>
      <c r="H456" s="340" t="n">
        <f aca="false">+VLOOKUP($A456,BASEdades!$A$3:$AA$283,7,FALSE())</f>
        <v>945.2</v>
      </c>
      <c r="I456" s="340" t="e">
        <f aca="false">#REF!*H456</f>
        <v>#REF!</v>
      </c>
    </row>
    <row r="457" customFormat="false" ht="41.75" hidden="false" customHeight="false" outlineLevel="0" collapsed="false">
      <c r="B457" s="368"/>
      <c r="C457" s="368"/>
      <c r="D457" s="353" t="str">
        <f aca="false">+VLOOKUP($A456,BASEdades!$A$3:$AA$283,4,FALSE())</f>
        <v>Subministrament i instal.lació de cuina fusta amb. Moble de fusta amb prestatges, fogons, taulell pel racó de joc simbòlic. No inclou accessoris.</v>
      </c>
      <c r="E457" s="341"/>
      <c r="F457" s="341"/>
      <c r="G457" s="341"/>
      <c r="H457" s="344"/>
      <c r="I457" s="370"/>
    </row>
    <row r="458" customFormat="false" ht="14.9" hidden="false" customHeight="false" outlineLevel="0" collapsed="false">
      <c r="B458" s="368"/>
      <c r="C458" s="368"/>
      <c r="D458" s="341" t="str">
        <f aca="false">+VLOOKUP($A456,BASEdades!$A$3:$AA$283,5,FALSE())</f>
        <v>.mides. 180x40x80h</v>
      </c>
      <c r="E458" s="341"/>
      <c r="F458" s="341"/>
      <c r="G458" s="341"/>
      <c r="H458" s="344"/>
      <c r="I458" s="370"/>
    </row>
    <row r="459" customFormat="false" ht="14.9" hidden="false" customHeight="false" outlineLevel="0" collapsed="false">
      <c r="B459" s="368"/>
      <c r="C459" s="368"/>
      <c r="D459" s="341" t="str">
        <f aca="false">+VLOOKUP($A456,BASEdades!$A$3:$AA$283,6,FALSE())</f>
        <v>.</v>
      </c>
      <c r="E459" s="341"/>
      <c r="F459" s="341"/>
      <c r="G459" s="341"/>
      <c r="H459" s="344"/>
      <c r="I459" s="370"/>
    </row>
    <row r="460" customFormat="false" ht="13.8" hidden="false" customHeight="false" outlineLevel="0" collapsed="false">
      <c r="B460" s="368"/>
      <c r="C460" s="368"/>
      <c r="D460" s="350"/>
      <c r="E460" s="348"/>
      <c r="F460" s="348"/>
      <c r="G460" s="348"/>
      <c r="H460" s="344"/>
      <c r="I460" s="370"/>
    </row>
    <row r="461" customFormat="false" ht="13.8" hidden="false" customHeight="false" outlineLevel="0" collapsed="false">
      <c r="A461" s="329" t="s">
        <v>490</v>
      </c>
      <c r="B461" s="337"/>
      <c r="C461" s="337" t="str">
        <f aca="false">+VLOOKUP($A461,BASEdades!$A$3:$AA$283,3,FALSE())</f>
        <v>ut</v>
      </c>
      <c r="D461" s="367" t="str">
        <f aca="false">+VLOOKUP($A461,BASEdades!$A$3:$AA$298,2,FALSE())</f>
        <v>Taula mig tronc amb 6 seients</v>
      </c>
      <c r="E461" s="338"/>
      <c r="F461" s="338"/>
      <c r="G461" s="338"/>
      <c r="H461" s="340" t="n">
        <f aca="false">+VLOOKUP($A461,BASEdades!$A$3:$AA$283,7,FALSE())</f>
        <v>496.5</v>
      </c>
      <c r="I461" s="340" t="e">
        <f aca="false">#REF!*H461</f>
        <v>#REF!</v>
      </c>
    </row>
    <row r="462" customFormat="false" ht="28.35" hidden="false" customHeight="false" outlineLevel="0" collapsed="false">
      <c r="B462" s="368"/>
      <c r="C462" s="368"/>
      <c r="D462" s="353" t="str">
        <f aca="false">+VLOOKUP($A461,BASEdades!$A$3:$AA$283,4,FALSE())</f>
        <v>Subministrament i instal·lació de taula de fusta feta a partir de mig tronc, més sis seients de troncs gruixuts.</v>
      </c>
      <c r="E462" s="341"/>
      <c r="F462" s="341"/>
      <c r="G462" s="341"/>
      <c r="H462" s="344"/>
      <c r="I462" s="370"/>
    </row>
    <row r="463" customFormat="false" ht="14.9" hidden="false" customHeight="false" outlineLevel="0" collapsed="false">
      <c r="B463" s="368"/>
      <c r="C463" s="368"/>
      <c r="D463" s="341" t="str">
        <f aca="false">+VLOOKUP($A461,BASEdades!$A$3:$AA$283,5,FALSE())</f>
        <v>.mides: 120x40x40cm seients h30cm</v>
      </c>
      <c r="E463" s="341"/>
      <c r="F463" s="341"/>
      <c r="G463" s="341"/>
      <c r="H463" s="344"/>
      <c r="I463" s="370"/>
    </row>
    <row r="464" customFormat="false" ht="14.9" hidden="false" customHeight="false" outlineLevel="0" collapsed="false">
      <c r="B464" s="368"/>
      <c r="C464" s="368"/>
      <c r="D464" s="341" t="str">
        <f aca="false">+VLOOKUP($A461,BASEdades!$A$3:$AA$283,6,FALSE())</f>
        <v>.</v>
      </c>
      <c r="E464" s="341"/>
      <c r="F464" s="341"/>
      <c r="G464" s="341"/>
      <c r="H464" s="344"/>
      <c r="I464" s="370"/>
    </row>
    <row r="465" customFormat="false" ht="13.8" hidden="false" customHeight="false" outlineLevel="0" collapsed="false">
      <c r="B465" s="368"/>
      <c r="C465" s="368"/>
      <c r="D465" s="350"/>
      <c r="E465" s="348"/>
      <c r="F465" s="348"/>
      <c r="G465" s="348"/>
      <c r="H465" s="344"/>
      <c r="I465" s="370"/>
    </row>
    <row r="466" customFormat="false" ht="13.8" hidden="false" customHeight="false" outlineLevel="0" collapsed="false">
      <c r="A466" s="329" t="s">
        <v>432</v>
      </c>
      <c r="B466" s="337"/>
      <c r="C466" s="337" t="str">
        <f aca="false">+VLOOKUP($A466,BASEdades!$A$3:$AA$283,3,FALSE())</f>
        <v>ut</v>
      </c>
      <c r="D466" s="367" t="str">
        <f aca="false">+VLOOKUP($A466,BASEdades!$A$3:$AA$298,2,FALSE())</f>
        <v>Túnel de tub</v>
      </c>
      <c r="E466" s="338"/>
      <c r="F466" s="338"/>
      <c r="G466" s="338"/>
      <c r="H466" s="340" t="n">
        <f aca="false">+VLOOKUP($A466,BASEdades!$A$3:$AA$283,7,FALSE())</f>
        <v>278</v>
      </c>
      <c r="I466" s="340" t="e">
        <f aca="false">#REF!*H466</f>
        <v>#REF!</v>
      </c>
    </row>
    <row r="467" customFormat="false" ht="41.75" hidden="false" customHeight="false" outlineLevel="0" collapsed="false">
      <c r="B467" s="368"/>
      <c r="C467" s="368"/>
      <c r="D467" s="353" t="str">
        <f aca="false">+VLOOKUP($A466,BASEdades!$A$3:$AA$283,4,FALSE())</f>
        <v>Subministrament i instal·lació de tub corrugat (túnel) de 60cm de diàmetre i 120cm de llargada amb travesses al voltant com a element de fixació al terreny.</v>
      </c>
      <c r="E467" s="341"/>
      <c r="F467" s="341"/>
      <c r="G467" s="341"/>
      <c r="H467" s="344"/>
      <c r="I467" s="370"/>
    </row>
    <row r="468" customFormat="false" ht="14.9" hidden="false" customHeight="false" outlineLevel="0" collapsed="false">
      <c r="B468" s="368"/>
      <c r="C468" s="368"/>
      <c r="D468" s="341" t="str">
        <f aca="false">+VLOOKUP($A466,BASEdades!$A$3:$AA$283,5,FALSE())</f>
        <v>.mides: Tub 120x 60cm</v>
      </c>
      <c r="E468" s="341"/>
      <c r="F468" s="341"/>
      <c r="G468" s="341"/>
      <c r="H468" s="344"/>
      <c r="I468" s="370"/>
    </row>
    <row r="469" customFormat="false" ht="14.9" hidden="false" customHeight="false" outlineLevel="0" collapsed="false">
      <c r="B469" s="368"/>
      <c r="C469" s="368"/>
      <c r="D469" s="341" t="str">
        <f aca="false">+VLOOKUP($A466,BASEdades!$A$3:$AA$283,6,FALSE())</f>
        <v>.</v>
      </c>
      <c r="E469" s="348"/>
      <c r="F469" s="348"/>
      <c r="G469" s="348"/>
      <c r="H469" s="344"/>
      <c r="I469" s="370"/>
    </row>
    <row r="470" s="277" customFormat="true" ht="13.8" hidden="false" customHeight="false" outlineLevel="0" collapsed="false">
      <c r="B470" s="361"/>
      <c r="C470" s="361"/>
      <c r="D470" s="351"/>
      <c r="E470" s="352"/>
      <c r="F470" s="352"/>
      <c r="G470" s="352"/>
      <c r="H470" s="359"/>
      <c r="I470" s="366"/>
      <c r="M470" s="0"/>
    </row>
    <row r="471" customFormat="false" ht="13.8" hidden="false" customHeight="false" outlineLevel="0" collapsed="false">
      <c r="A471" s="329" t="s">
        <v>358</v>
      </c>
      <c r="B471" s="337"/>
      <c r="C471" s="337" t="str">
        <f aca="false">+VLOOKUP($A471,BASEdades!$A$3:$AA$283,3,FALSE())</f>
        <v>ut</v>
      </c>
      <c r="D471" s="367" t="str">
        <f aca="false">+VLOOKUP($A471,BASEdades!$A$3:$AA$298,2,FALSE())</f>
        <v>Estructura de troncs d'equilibri la Pau</v>
      </c>
      <c r="E471" s="338"/>
      <c r="F471" s="338"/>
      <c r="G471" s="338"/>
      <c r="H471" s="340" t="n">
        <f aca="false">+VLOOKUP($A471,BASEdades!$A$3:$AA$283,7,FALSE())</f>
        <v>1246.3</v>
      </c>
      <c r="I471" s="340" t="e">
        <f aca="false">#REF!*H471</f>
        <v>#REF!</v>
      </c>
    </row>
    <row r="472" customFormat="false" ht="55.2" hidden="false" customHeight="false" outlineLevel="0" collapsed="false">
      <c r="B472" s="368"/>
      <c r="C472" s="368"/>
      <c r="D472" s="353" t="str">
        <f aca="false">+VLOOKUP($A471,BASEdades!$A$3:$AA$283,4,FALSE())</f>
        <v>Subministrament i instal·lació d'estructura formada per troncs verticals i horitzontals de fusta tractada amb oli. Dos troncs de 230 cm, quatre de 160 cm, dos de 80 cm  i un amb la forma de una Y.</v>
      </c>
      <c r="E472" s="341"/>
      <c r="F472" s="341"/>
      <c r="G472" s="341"/>
      <c r="H472" s="344"/>
      <c r="I472" s="370"/>
    </row>
    <row r="473" customFormat="false" ht="14.9" hidden="false" customHeight="false" outlineLevel="0" collapsed="false">
      <c r="B473" s="368"/>
      <c r="C473" s="368"/>
      <c r="D473" s="341" t="str">
        <f aca="false">+VLOOKUP($A471,BASEdades!$A$3:$AA$283,5,FALSE())</f>
        <v>.mides: 6m2 aprox.</v>
      </c>
      <c r="E473" s="341"/>
      <c r="F473" s="341"/>
      <c r="G473" s="341"/>
      <c r="H473" s="344"/>
      <c r="I473" s="370"/>
    </row>
    <row r="474" customFormat="false" ht="14.9" hidden="false" customHeight="false" outlineLevel="0" collapsed="false">
      <c r="B474" s="368"/>
      <c r="C474" s="368"/>
      <c r="D474" s="341" t="str">
        <f aca="false">+VLOOKUP($A471,BASEdades!$A$3:$AA$283,6,FALSE())</f>
        <v>.</v>
      </c>
      <c r="E474" s="348"/>
      <c r="F474" s="348"/>
      <c r="G474" s="348"/>
      <c r="H474" s="344"/>
      <c r="I474" s="370"/>
    </row>
    <row r="475" customFormat="false" ht="13.8" hidden="false" customHeight="false" outlineLevel="0" collapsed="false">
      <c r="B475" s="368"/>
      <c r="C475" s="368"/>
      <c r="D475" s="416" t="s">
        <v>1061</v>
      </c>
      <c r="E475" s="378" t="n">
        <f aca="false">+VLOOKUP($D475,PREUS!$B$1:$F$589,3,FALSE())</f>
        <v>36.4</v>
      </c>
      <c r="F475" s="378" t="str">
        <f aca="false">+VLOOKUP($D475,PREUS!$B$1:$F$589,4,FALSE())</f>
        <v>m</v>
      </c>
      <c r="G475" s="418" t="n">
        <f aca="false">12.6*1.65573</f>
        <v>20.862198</v>
      </c>
      <c r="H475" s="419" t="n">
        <f aca="false">E475*G475</f>
        <v>759.3840072</v>
      </c>
    </row>
    <row r="476" customFormat="false" ht="13.8" hidden="false" customHeight="false" outlineLevel="0" collapsed="false">
      <c r="B476" s="368"/>
      <c r="C476" s="368"/>
      <c r="D476" s="286" t="s">
        <v>1046</v>
      </c>
      <c r="E476" s="378" t="n">
        <v>20</v>
      </c>
      <c r="F476" s="378" t="str">
        <f aca="false">+VLOOKUP($D476,PREUS!$B$1:$F$589,4,FALSE())</f>
        <v>kg</v>
      </c>
      <c r="G476" s="394" t="n">
        <v>0.5</v>
      </c>
      <c r="H476" s="419" t="n">
        <f aca="false">E476*G476</f>
        <v>10</v>
      </c>
    </row>
    <row r="477" customFormat="false" ht="13.8" hidden="false" customHeight="false" outlineLevel="0" collapsed="false">
      <c r="B477" s="368"/>
      <c r="C477" s="368"/>
      <c r="D477" s="416" t="s">
        <v>1047</v>
      </c>
      <c r="E477" s="378" t="n">
        <f aca="false">+VLOOKUP($D477,PREUS!$B$1:$F$589,3,FALSE())</f>
        <v>30.76</v>
      </c>
      <c r="F477" s="378" t="str">
        <f aca="false">+VLOOKUP($D477,PREUS!$B$1:$F$589,4,FALSE())</f>
        <v>h</v>
      </c>
      <c r="G477" s="394" t="n">
        <v>8</v>
      </c>
      <c r="H477" s="419" t="n">
        <f aca="false">E477*G477</f>
        <v>246.08</v>
      </c>
    </row>
    <row r="478" customFormat="false" ht="13.8" hidden="false" customHeight="false" outlineLevel="0" collapsed="false">
      <c r="B478" s="368"/>
      <c r="C478" s="368"/>
      <c r="D478" s="416" t="s">
        <v>986</v>
      </c>
      <c r="E478" s="378" t="n">
        <f aca="false">+VLOOKUP($D478,PREUS!$B$1:$F$589,3,FALSE())</f>
        <v>25.8</v>
      </c>
      <c r="F478" s="378" t="str">
        <f aca="false">+VLOOKUP($D478,PREUS!$B$1:$F$589,4,FALSE())</f>
        <v>h</v>
      </c>
      <c r="G478" s="394" t="n">
        <v>8</v>
      </c>
      <c r="H478" s="419" t="n">
        <f aca="false">E478*G478</f>
        <v>206.4</v>
      </c>
    </row>
    <row r="479" customFormat="false" ht="13.8" hidden="false" customHeight="false" outlineLevel="0" collapsed="false">
      <c r="B479" s="368"/>
      <c r="C479" s="368"/>
      <c r="D479" s="286" t="s">
        <v>987</v>
      </c>
      <c r="E479" s="379" t="n">
        <f aca="false">SUM(H475:H478)</f>
        <v>1221.8640072</v>
      </c>
      <c r="F479" s="403" t="s">
        <v>988</v>
      </c>
      <c r="G479" s="422" t="n">
        <v>0.02</v>
      </c>
      <c r="H479" s="419" t="n">
        <f aca="false">E479*G479</f>
        <v>24.437280144</v>
      </c>
    </row>
    <row r="480" s="277" customFormat="true" ht="13.8" hidden="false" customHeight="false" outlineLevel="0" collapsed="false">
      <c r="B480" s="361"/>
      <c r="C480" s="361"/>
      <c r="D480" s="351"/>
      <c r="E480" s="352"/>
      <c r="F480" s="352"/>
      <c r="G480" s="352"/>
      <c r="H480" s="359"/>
      <c r="I480" s="366"/>
      <c r="M480" s="0"/>
    </row>
    <row r="481" customFormat="false" ht="13.8" hidden="false" customHeight="false" outlineLevel="0" collapsed="false">
      <c r="A481" s="329" t="s">
        <v>354</v>
      </c>
      <c r="B481" s="337"/>
      <c r="C481" s="337" t="str">
        <f aca="false">+VLOOKUP($A481,BASEdades!$A$3:$AA$283,3,FALSE())</f>
        <v>ut</v>
      </c>
      <c r="D481" s="367" t="str">
        <f aca="false">+VLOOKUP($A481,BASEdades!$A$3:$AA$298,2,FALSE())</f>
        <v>Estructura de troncs d'equilibri</v>
      </c>
      <c r="E481" s="338"/>
      <c r="F481" s="338"/>
      <c r="G481" s="338"/>
      <c r="H481" s="340" t="n">
        <f aca="false">+VLOOKUP($A481,BASEdades!$A$3:$AA$283,7,FALSE())</f>
        <v>768</v>
      </c>
      <c r="I481" s="340" t="e">
        <f aca="false">#REF!*H481</f>
        <v>#REF!</v>
      </c>
    </row>
    <row r="482" customFormat="false" ht="55.2" hidden="false" customHeight="false" outlineLevel="0" collapsed="false">
      <c r="B482" s="368"/>
      <c r="C482" s="368"/>
      <c r="D482" s="353" t="str">
        <f aca="false">+VLOOKUP($A481,BASEdades!$A$3:$AA$283,4,FALSE())</f>
        <v>Subministrament i instal·lació d'estructura formada per 5 troncs d'acàcia tractada. Tres troncs de 230 cm de diametre entre 12-16cm, un tronc de 180 cm i diametre entre 14-18cm i un tronc de 80cm i diametre 20cm.</v>
      </c>
      <c r="E482" s="341"/>
      <c r="F482" s="341"/>
      <c r="G482" s="341"/>
      <c r="H482" s="344"/>
      <c r="I482" s="370"/>
    </row>
    <row r="483" customFormat="false" ht="14.9" hidden="false" customHeight="false" outlineLevel="0" collapsed="false">
      <c r="B483" s="368"/>
      <c r="C483" s="368"/>
      <c r="D483" s="341" t="str">
        <f aca="false">+VLOOKUP($A481,BASEdades!$A$3:$AA$283,5,FALSE())</f>
        <v>.mides: 3x3m</v>
      </c>
      <c r="E483" s="341"/>
      <c r="F483" s="341"/>
      <c r="G483" s="341"/>
      <c r="H483" s="344"/>
      <c r="I483" s="370"/>
    </row>
    <row r="484" customFormat="false" ht="14.9" hidden="false" customHeight="false" outlineLevel="0" collapsed="false">
      <c r="B484" s="368"/>
      <c r="C484" s="368"/>
      <c r="D484" s="341" t="str">
        <f aca="false">+VLOOKUP($A481,BASEdades!$A$3:$AA$283,6,FALSE())</f>
        <v>.</v>
      </c>
      <c r="E484" s="348"/>
      <c r="F484" s="348"/>
      <c r="G484" s="348"/>
      <c r="H484" s="344"/>
      <c r="I484" s="370"/>
    </row>
    <row r="485" customFormat="false" ht="13.8" hidden="false" customHeight="false" outlineLevel="0" collapsed="false">
      <c r="B485" s="368"/>
      <c r="C485" s="368"/>
      <c r="D485" s="416" t="s">
        <v>1061</v>
      </c>
      <c r="E485" s="378" t="n">
        <f aca="false">+VLOOKUP($D485,PREUS!$B$1:$F$589,3,FALSE())</f>
        <v>36.4</v>
      </c>
      <c r="F485" s="378" t="str">
        <f aca="false">+VLOOKUP($D485,PREUS!$B$1:$F$589,4,FALSE())</f>
        <v>m</v>
      </c>
      <c r="G485" s="394" t="n">
        <f aca="false">(2.3*3+1.8+0.8)*1.331</f>
        <v>12.6445</v>
      </c>
      <c r="H485" s="419" t="n">
        <f aca="false">E485*G485</f>
        <v>460.2598</v>
      </c>
    </row>
    <row r="486" customFormat="false" ht="13.8" hidden="false" customHeight="false" outlineLevel="0" collapsed="false">
      <c r="B486" s="368"/>
      <c r="C486" s="368"/>
      <c r="D486" s="286" t="s">
        <v>1046</v>
      </c>
      <c r="E486" s="378" t="n">
        <v>20</v>
      </c>
      <c r="F486" s="378" t="str">
        <f aca="false">+VLOOKUP($D486,PREUS!$B$1:$F$589,4,FALSE())</f>
        <v>kg</v>
      </c>
      <c r="G486" s="394" t="n">
        <v>0.5</v>
      </c>
      <c r="H486" s="419" t="n">
        <f aca="false">E486*G486</f>
        <v>10</v>
      </c>
    </row>
    <row r="487" customFormat="false" ht="13.8" hidden="false" customHeight="false" outlineLevel="0" collapsed="false">
      <c r="B487" s="368"/>
      <c r="C487" s="368"/>
      <c r="D487" s="416" t="s">
        <v>1047</v>
      </c>
      <c r="E487" s="378" t="n">
        <f aca="false">+VLOOKUP($D487,PREUS!$B$1:$F$589,3,FALSE())</f>
        <v>30.76</v>
      </c>
      <c r="F487" s="378" t="str">
        <f aca="false">+VLOOKUP($D487,PREUS!$B$1:$F$589,4,FALSE())</f>
        <v>h</v>
      </c>
      <c r="G487" s="394" t="n">
        <v>5</v>
      </c>
      <c r="H487" s="419" t="n">
        <f aca="false">E487*G487</f>
        <v>153.8</v>
      </c>
    </row>
    <row r="488" customFormat="false" ht="13.8" hidden="false" customHeight="false" outlineLevel="0" collapsed="false">
      <c r="B488" s="368"/>
      <c r="C488" s="368"/>
      <c r="D488" s="416" t="s">
        <v>986</v>
      </c>
      <c r="E488" s="378" t="n">
        <f aca="false">+VLOOKUP($D488,PREUS!$B$1:$F$589,3,FALSE())</f>
        <v>25.8</v>
      </c>
      <c r="F488" s="378" t="str">
        <f aca="false">+VLOOKUP($D488,PREUS!$B$1:$F$589,4,FALSE())</f>
        <v>h</v>
      </c>
      <c r="G488" s="394" t="n">
        <v>5</v>
      </c>
      <c r="H488" s="419" t="n">
        <f aca="false">E488*G488</f>
        <v>129</v>
      </c>
    </row>
    <row r="489" customFormat="false" ht="13.8" hidden="false" customHeight="false" outlineLevel="0" collapsed="false">
      <c r="B489" s="368"/>
      <c r="C489" s="368"/>
      <c r="D489" s="286" t="s">
        <v>987</v>
      </c>
      <c r="E489" s="379" t="n">
        <f aca="false">SUM(H485:H488)</f>
        <v>753.0598</v>
      </c>
      <c r="F489" s="403" t="s">
        <v>988</v>
      </c>
      <c r="G489" s="422" t="n">
        <v>0.02</v>
      </c>
      <c r="H489" s="419" t="n">
        <f aca="false">E489*G489</f>
        <v>15.061196</v>
      </c>
    </row>
    <row r="490" s="277" customFormat="true" ht="13.8" hidden="false" customHeight="false" outlineLevel="0" collapsed="false">
      <c r="B490" s="361"/>
      <c r="C490" s="361"/>
      <c r="D490" s="351"/>
      <c r="E490" s="352"/>
      <c r="F490" s="352"/>
      <c r="G490" s="352"/>
      <c r="H490" s="359"/>
      <c r="I490" s="366"/>
      <c r="M490" s="0"/>
    </row>
    <row r="491" customFormat="false" ht="13.8" hidden="false" customHeight="false" outlineLevel="0" collapsed="false">
      <c r="A491" s="329" t="s">
        <v>576</v>
      </c>
      <c r="B491" s="337"/>
      <c r="C491" s="337" t="str">
        <f aca="false">+VLOOKUP($A491,BASEdades!$A$3:$AA$283,3,FALSE())</f>
        <v>ut</v>
      </c>
      <c r="D491" s="367" t="str">
        <f aca="false">+VLOOKUP($A491,BASEdades!$A$3:$AA$298,2,FALSE())</f>
        <v>Font amb tronc</v>
      </c>
      <c r="E491" s="338"/>
      <c r="F491" s="338"/>
      <c r="G491" s="338"/>
      <c r="H491" s="340" t="n">
        <f aca="false">+VLOOKUP($A491,BASEdades!$A$3:$AA$283,7,FALSE())</f>
        <v>735.73</v>
      </c>
      <c r="I491" s="340" t="e">
        <f aca="false">#REF!*H491</f>
        <v>#REF!</v>
      </c>
    </row>
    <row r="492" customFormat="false" ht="68.65" hidden="false" customHeight="false" outlineLevel="0" collapsed="false">
      <c r="B492" s="368"/>
      <c r="C492" s="368"/>
      <c r="D492" s="353" t="str">
        <f aca="false">+VLOOKUP($A491,BASEdades!$A$3:$AA$283,4,FALSE())</f>
        <v>Subministrament i instal·lació de font feta amb tronc de fusta d'acàcia inspirada amb la natura i les seves formes. Inclou instal·lació de pericó prefabricat de poliopropile  de 300x300x300 registrable amb tapa cega de pvc reforçada i col·locada. Inclou connexió  a l'escomesa de max. 3m.</v>
      </c>
      <c r="E492" s="341"/>
      <c r="F492" s="341"/>
      <c r="G492" s="341"/>
      <c r="H492" s="344"/>
      <c r="I492" s="370"/>
    </row>
    <row r="493" customFormat="false" ht="14.9" hidden="false" customHeight="false" outlineLevel="0" collapsed="false">
      <c r="B493" s="368"/>
      <c r="C493" s="368"/>
      <c r="D493" s="341" t="str">
        <f aca="false">+VLOOKUP($A491,BASEdades!$A$3:$AA$283,5,FALSE())</f>
        <v>.mides: 26x26x110 cm</v>
      </c>
      <c r="E493" s="341"/>
      <c r="F493" s="341"/>
      <c r="G493" s="341"/>
      <c r="H493" s="344"/>
      <c r="I493" s="370"/>
    </row>
    <row r="494" customFormat="false" ht="14.9" hidden="false" customHeight="false" outlineLevel="0" collapsed="false">
      <c r="B494" s="368"/>
      <c r="C494" s="368"/>
      <c r="D494" s="341" t="str">
        <f aca="false">+VLOOKUP($A491,BASEdades!$A$3:$AA$283,6,FALSE())</f>
        <v>.</v>
      </c>
      <c r="E494" s="348"/>
      <c r="F494" s="348"/>
      <c r="G494" s="348"/>
      <c r="H494" s="344"/>
      <c r="I494" s="370"/>
    </row>
    <row r="495" customFormat="false" ht="13.8" hidden="false" customHeight="false" outlineLevel="0" collapsed="false">
      <c r="B495" s="368"/>
      <c r="C495" s="368"/>
      <c r="D495" s="416" t="s">
        <v>1064</v>
      </c>
      <c r="E495" s="378" t="n">
        <f aca="false">+VLOOKUP($D495,PREUS!$B$1:$F$589,3,FALSE())</f>
        <v>526.5</v>
      </c>
      <c r="F495" s="378" t="str">
        <f aca="false">+VLOOKUP($D495,PREUS!$B$1:$F$589,4,FALSE())</f>
        <v>ut</v>
      </c>
      <c r="G495" s="394" t="n">
        <v>1</v>
      </c>
      <c r="H495" s="419" t="n">
        <f aca="false">E495*G495</f>
        <v>526.5</v>
      </c>
    </row>
    <row r="496" customFormat="false" ht="13.8" hidden="false" customHeight="false" outlineLevel="0" collapsed="false">
      <c r="B496" s="368"/>
      <c r="C496" s="368"/>
      <c r="D496" s="416" t="s">
        <v>1047</v>
      </c>
      <c r="E496" s="378" t="n">
        <f aca="false">+VLOOKUP($D496,PREUS!$B$1:$F$589,3,FALSE())</f>
        <v>30.76</v>
      </c>
      <c r="F496" s="378" t="str">
        <f aca="false">+VLOOKUP($D496,PREUS!$B$1:$F$589,4,FALSE())</f>
        <v>h</v>
      </c>
      <c r="G496" s="418" t="n">
        <v>3.444</v>
      </c>
      <c r="H496" s="419" t="n">
        <f aca="false">E496*G496</f>
        <v>105.93744</v>
      </c>
    </row>
    <row r="497" customFormat="false" ht="13.8" hidden="false" customHeight="false" outlineLevel="0" collapsed="false">
      <c r="B497" s="368"/>
      <c r="C497" s="368"/>
      <c r="D497" s="416" t="s">
        <v>986</v>
      </c>
      <c r="E497" s="378" t="n">
        <f aca="false">+VLOOKUP($D497,PREUS!$B$1:$F$589,3,FALSE())</f>
        <v>25.8</v>
      </c>
      <c r="F497" s="378" t="str">
        <f aca="false">+VLOOKUP($D497,PREUS!$B$1:$F$589,4,FALSE())</f>
        <v>h</v>
      </c>
      <c r="G497" s="418" t="n">
        <v>3.4445</v>
      </c>
      <c r="H497" s="419" t="n">
        <f aca="false">E497*G497</f>
        <v>88.8681</v>
      </c>
    </row>
    <row r="498" customFormat="false" ht="13.8" hidden="false" customHeight="false" outlineLevel="0" collapsed="false">
      <c r="B498" s="368"/>
      <c r="C498" s="368"/>
      <c r="D498" s="286" t="s">
        <v>987</v>
      </c>
      <c r="E498" s="379" t="n">
        <f aca="false">SUM(H495:H497)</f>
        <v>721.30554</v>
      </c>
      <c r="F498" s="403" t="s">
        <v>988</v>
      </c>
      <c r="G498" s="422" t="n">
        <v>0.02</v>
      </c>
      <c r="H498" s="419" t="n">
        <f aca="false">E498*G498</f>
        <v>14.4261108</v>
      </c>
    </row>
    <row r="499" customFormat="false" ht="13.8" hidden="false" customHeight="false" outlineLevel="0" collapsed="false">
      <c r="B499" s="368"/>
      <c r="C499" s="368"/>
      <c r="D499" s="350"/>
      <c r="E499" s="348"/>
      <c r="F499" s="348"/>
      <c r="G499" s="348"/>
      <c r="H499" s="344"/>
      <c r="I499" s="370"/>
    </row>
    <row r="500" customFormat="false" ht="13.8" hidden="false" customHeight="false" outlineLevel="0" collapsed="false">
      <c r="A500" s="329" t="s">
        <v>588</v>
      </c>
      <c r="B500" s="337"/>
      <c r="C500" s="337" t="str">
        <f aca="false">+VLOOKUP($A500,BASEdades!$A$3:$AA$283,3,FALSE())</f>
        <v>ut</v>
      </c>
      <c r="D500" s="367" t="str">
        <f aca="false">+VLOOKUP($A500,BASEdades!$A$3:$AA$298,2,FALSE())</f>
        <v>Circuit d'aigua</v>
      </c>
      <c r="E500" s="338"/>
      <c r="F500" s="338"/>
      <c r="G500" s="338"/>
      <c r="H500" s="340" t="n">
        <f aca="false">+VLOOKUP($A500,BASEdades!$A$3:$AA$283,7,FALSE())</f>
        <v>1450</v>
      </c>
      <c r="I500" s="340" t="e">
        <f aca="false">#REF!*H500</f>
        <v>#REF!</v>
      </c>
    </row>
    <row r="501" customFormat="false" ht="41.75" hidden="false" customHeight="false" outlineLevel="0" collapsed="false">
      <c r="B501" s="368"/>
      <c r="C501" s="368"/>
      <c r="D501" s="353" t="str">
        <f aca="false">+VLOOKUP($A500,BASEdades!$A$3:$AA$283,4,FALSE())</f>
        <v>Subministrament i instal·lació de circuit d'aigua per a exterior format per un conjunt de troncs de fusta d'acàcia i dues plataformes de taulell de carrosser. </v>
      </c>
      <c r="E501" s="341"/>
      <c r="F501" s="341"/>
      <c r="G501" s="341"/>
      <c r="H501" s="344"/>
      <c r="I501" s="370"/>
    </row>
    <row r="502" customFormat="false" ht="14.9" hidden="false" customHeight="false" outlineLevel="0" collapsed="false">
      <c r="B502" s="368"/>
      <c r="C502" s="368"/>
      <c r="D502" s="341" t="str">
        <f aca="false">+VLOOKUP($A500,BASEdades!$A$3:$AA$283,5,FALSE())</f>
        <v>.mides: 3 canals de 140cm i 2 plataforma</v>
      </c>
      <c r="E502" s="341"/>
      <c r="F502" s="341"/>
      <c r="G502" s="341"/>
      <c r="H502" s="344"/>
      <c r="I502" s="370"/>
    </row>
    <row r="503" customFormat="false" ht="14.9" hidden="false" customHeight="false" outlineLevel="0" collapsed="false">
      <c r="B503" s="368"/>
      <c r="C503" s="368"/>
      <c r="D503" s="341" t="str">
        <f aca="false">+VLOOKUP($A500,BASEdades!$A$3:$AA$283,6,FALSE())</f>
        <v>.</v>
      </c>
      <c r="E503" s="348"/>
      <c r="F503" s="348"/>
      <c r="G503" s="348"/>
      <c r="H503" s="344"/>
      <c r="I503" s="370"/>
    </row>
    <row r="504" customFormat="false" ht="13.8" hidden="false" customHeight="false" outlineLevel="0" collapsed="false">
      <c r="B504" s="368"/>
      <c r="C504" s="368"/>
      <c r="D504" s="416" t="s">
        <v>585</v>
      </c>
      <c r="E504" s="378" t="n">
        <f aca="false">+VLOOKUP($D504,PREUS!$B$1:$F$589,3,FALSE())</f>
        <v>1268.75</v>
      </c>
      <c r="F504" s="378" t="str">
        <f aca="false">+VLOOKUP($D504,PREUS!$B$1:$F$589,4,FALSE())</f>
        <v>ut</v>
      </c>
      <c r="G504" s="394" t="n">
        <v>1</v>
      </c>
      <c r="H504" s="419" t="n">
        <f aca="false">E504*G504</f>
        <v>1268.75</v>
      </c>
    </row>
    <row r="505" customFormat="false" ht="13.8" hidden="false" customHeight="false" outlineLevel="0" collapsed="false">
      <c r="B505" s="368"/>
      <c r="C505" s="368"/>
      <c r="D505" s="416" t="s">
        <v>1047</v>
      </c>
      <c r="E505" s="378" t="n">
        <f aca="false">+VLOOKUP($D505,PREUS!$B$1:$F$589,3,FALSE())</f>
        <v>30.76</v>
      </c>
      <c r="F505" s="378" t="str">
        <f aca="false">+VLOOKUP($D505,PREUS!$B$1:$F$589,4,FALSE())</f>
        <v>h</v>
      </c>
      <c r="G505" s="418" t="n">
        <v>2.7035</v>
      </c>
      <c r="H505" s="419" t="n">
        <f aca="false">E505*G505</f>
        <v>83.15966</v>
      </c>
    </row>
    <row r="506" customFormat="false" ht="13.8" hidden="false" customHeight="false" outlineLevel="0" collapsed="false">
      <c r="B506" s="368"/>
      <c r="C506" s="368"/>
      <c r="D506" s="416" t="s">
        <v>986</v>
      </c>
      <c r="E506" s="378" t="n">
        <f aca="false">+VLOOKUP($D506,PREUS!$B$1:$F$589,3,FALSE())</f>
        <v>25.8</v>
      </c>
      <c r="F506" s="378" t="str">
        <f aca="false">+VLOOKUP($D506,PREUS!$B$1:$F$589,4,FALSE())</f>
        <v>h</v>
      </c>
      <c r="G506" s="418" t="n">
        <v>2.7</v>
      </c>
      <c r="H506" s="419" t="n">
        <f aca="false">E506*G506</f>
        <v>69.66</v>
      </c>
    </row>
    <row r="507" customFormat="false" ht="13.8" hidden="false" customHeight="false" outlineLevel="0" collapsed="false">
      <c r="B507" s="368"/>
      <c r="C507" s="368"/>
      <c r="D507" s="286" t="s">
        <v>987</v>
      </c>
      <c r="E507" s="379" t="n">
        <f aca="false">SUM(H504:H506)</f>
        <v>1421.56966</v>
      </c>
      <c r="F507" s="403" t="s">
        <v>988</v>
      </c>
      <c r="G507" s="422" t="n">
        <v>0.02</v>
      </c>
      <c r="H507" s="419" t="n">
        <f aca="false">E507*G507</f>
        <v>28.4313932</v>
      </c>
    </row>
    <row r="508" s="277" customFormat="true" ht="13.8" hidden="false" customHeight="false" outlineLevel="0" collapsed="false">
      <c r="B508" s="361"/>
      <c r="C508" s="361"/>
      <c r="D508" s="351"/>
      <c r="E508" s="352"/>
      <c r="F508" s="352"/>
      <c r="G508" s="352"/>
      <c r="H508" s="359"/>
      <c r="I508" s="366"/>
      <c r="M508" s="0"/>
    </row>
    <row r="509" s="277" customFormat="true" ht="13.8" hidden="false" customHeight="false" outlineLevel="0" collapsed="false">
      <c r="A509" s="329" t="s">
        <v>292</v>
      </c>
      <c r="B509" s="337"/>
      <c r="C509" s="337" t="str">
        <f aca="false">+VLOOKUP($A509,BASEdades!$A$3:$AA$283,3,FALSE())</f>
        <v>ut</v>
      </c>
      <c r="D509" s="367" t="str">
        <f aca="false">+VLOOKUP($A509,BASEdades!$A$3:$AA$298,2,FALSE())</f>
        <v>Rotllo de fibra de coco</v>
      </c>
      <c r="E509" s="338"/>
      <c r="F509" s="338"/>
      <c r="G509" s="338"/>
      <c r="H509" s="340" t="n">
        <f aca="false">+VLOOKUP($A509,BASEdades!$A$3:$AA$283,7,FALSE())</f>
        <v>184.5</v>
      </c>
      <c r="I509" s="340" t="e">
        <f aca="false">#REF!*H509</f>
        <v>#REF!</v>
      </c>
      <c r="M509" s="0"/>
    </row>
    <row r="510" s="277" customFormat="true" ht="32.25" hidden="false" customHeight="true" outlineLevel="0" collapsed="false">
      <c r="A510" s="286"/>
      <c r="B510" s="368"/>
      <c r="C510" s="368"/>
      <c r="D510" s="353" t="str">
        <f aca="false">+VLOOKUP($A509,BASEdades!$A$3:$AA$283,4,FALSE())</f>
        <v>Subministrament i instal·lació de rotllo de fibra de coco d'alta densitat compactada i estructurada en una xarxa de polipropilè.  </v>
      </c>
      <c r="E510" s="341"/>
      <c r="F510" s="341"/>
      <c r="G510" s="341"/>
      <c r="H510" s="344"/>
      <c r="I510" s="370"/>
      <c r="M510" s="0"/>
    </row>
    <row r="511" s="277" customFormat="true" ht="14.9" hidden="false" customHeight="false" outlineLevel="0" collapsed="false">
      <c r="A511" s="286"/>
      <c r="B511" s="368"/>
      <c r="C511" s="368"/>
      <c r="D511" s="341" t="str">
        <f aca="false">+VLOOKUP($A509,BASEdades!$A$3:$AA$283,5,FALSE())</f>
        <v>.mides: 300cm x 30cm diàmetre</v>
      </c>
      <c r="E511" s="341"/>
      <c r="F511" s="341"/>
      <c r="G511" s="341"/>
      <c r="H511" s="344"/>
      <c r="I511" s="370"/>
      <c r="M511" s="0"/>
    </row>
    <row r="512" s="277" customFormat="true" ht="14.9" hidden="false" customHeight="false" outlineLevel="0" collapsed="false">
      <c r="A512" s="286"/>
      <c r="B512" s="368"/>
      <c r="C512" s="368"/>
      <c r="D512" s="341" t="str">
        <f aca="false">+VLOOKUP($A509,BASEdades!$A$3:$AA$283,6,FALSE())</f>
        <v>.</v>
      </c>
      <c r="E512" s="348"/>
      <c r="F512" s="348"/>
      <c r="G512" s="348"/>
      <c r="H512" s="344"/>
      <c r="I512" s="370"/>
      <c r="M512" s="0"/>
    </row>
    <row r="513" s="277" customFormat="true" ht="13.8" hidden="false" customHeight="false" outlineLevel="0" collapsed="false">
      <c r="A513" s="286"/>
      <c r="B513" s="368"/>
      <c r="C513" s="368"/>
      <c r="D513" s="416" t="s">
        <v>1065</v>
      </c>
      <c r="E513" s="378" t="n">
        <f aca="false">+VLOOKUP($D513,PREUS!$B$1:$F$589,3,FALSE())</f>
        <v>124.3</v>
      </c>
      <c r="F513" s="378" t="str">
        <f aca="false">+VLOOKUP($D513,PREUS!$B$1:$F$589,4,FALSE())</f>
        <v>ut</v>
      </c>
      <c r="G513" s="394" t="n">
        <v>1</v>
      </c>
      <c r="H513" s="419" t="n">
        <f aca="false">E513*G513</f>
        <v>124.3</v>
      </c>
      <c r="I513" s="370"/>
      <c r="M513" s="0"/>
    </row>
    <row r="514" s="277" customFormat="true" ht="13.8" hidden="false" customHeight="false" outlineLevel="0" collapsed="false">
      <c r="A514" s="286"/>
      <c r="B514" s="368"/>
      <c r="C514" s="368"/>
      <c r="D514" s="416" t="s">
        <v>989</v>
      </c>
      <c r="E514" s="378" t="n">
        <f aca="false">+VLOOKUP($D514,PREUS!$B$1:$F$589,3,FALSE())</f>
        <v>30.79</v>
      </c>
      <c r="F514" s="378" t="str">
        <f aca="false">+VLOOKUP($D514,PREUS!$B$1:$F$589,4,FALSE())</f>
        <v>h</v>
      </c>
      <c r="G514" s="394" t="n">
        <v>1</v>
      </c>
      <c r="H514" s="419" t="n">
        <v>30.8</v>
      </c>
      <c r="I514" s="304"/>
      <c r="M514" s="0"/>
    </row>
    <row r="515" s="277" customFormat="true" ht="13.8" hidden="false" customHeight="false" outlineLevel="0" collapsed="false">
      <c r="A515" s="286"/>
      <c r="B515" s="368"/>
      <c r="C515" s="368"/>
      <c r="D515" s="416" t="s">
        <v>986</v>
      </c>
      <c r="E515" s="378" t="n">
        <f aca="false">+VLOOKUP($D515,PREUS!$B$1:$F$589,3,FALSE())</f>
        <v>25.8</v>
      </c>
      <c r="F515" s="378" t="str">
        <f aca="false">+VLOOKUP($D515,PREUS!$B$1:$F$589,4,FALSE())</f>
        <v>h</v>
      </c>
      <c r="G515" s="394" t="n">
        <v>1</v>
      </c>
      <c r="H515" s="419" t="n">
        <f aca="false">E515*G515</f>
        <v>25.8</v>
      </c>
      <c r="I515" s="304"/>
      <c r="M515" s="0"/>
    </row>
    <row r="516" s="277" customFormat="true" ht="13.8" hidden="false" customHeight="false" outlineLevel="0" collapsed="false">
      <c r="A516" s="286"/>
      <c r="B516" s="368"/>
      <c r="C516" s="368"/>
      <c r="D516" s="286" t="s">
        <v>987</v>
      </c>
      <c r="E516" s="379" t="n">
        <f aca="false">SUM(H513:H515)</f>
        <v>180.9</v>
      </c>
      <c r="F516" s="403" t="s">
        <v>988</v>
      </c>
      <c r="G516" s="422" t="n">
        <v>0.02</v>
      </c>
      <c r="H516" s="419" t="n">
        <f aca="false">E516*G516</f>
        <v>3.618</v>
      </c>
      <c r="I516" s="304"/>
      <c r="M516" s="0"/>
    </row>
    <row r="517" customFormat="false" ht="13.8" hidden="false" customHeight="false" outlineLevel="0" collapsed="false">
      <c r="B517" s="368"/>
      <c r="C517" s="368"/>
      <c r="D517" s="350"/>
      <c r="E517" s="348"/>
      <c r="F517" s="348"/>
      <c r="G517" s="348"/>
      <c r="H517" s="344"/>
      <c r="I517" s="370"/>
    </row>
    <row r="518" customFormat="false" ht="13.8" hidden="false" customHeight="false" outlineLevel="0" collapsed="false">
      <c r="A518" s="329" t="s">
        <v>321</v>
      </c>
      <c r="B518" s="337"/>
      <c r="C518" s="337" t="str">
        <f aca="false">+VLOOKUP($A518,[1]BASEdades!$A$3:$AA$282,3,FALSE())</f>
        <v>ut</v>
      </c>
      <c r="D518" s="367" t="str">
        <f aca="false">+VLOOKUP($A518,[1]BASEdades!$A$3:$AA$297,2,FALSE())</f>
        <v>Rampa de tronc d'acàcia</v>
      </c>
      <c r="E518" s="338"/>
      <c r="F518" s="338"/>
      <c r="G518" s="338"/>
      <c r="H518" s="340" t="n">
        <f aca="false">+VLOOKUP($A518,[1]BASEdades!$A$3:$AA$282,7,FALSE())</f>
        <v>154</v>
      </c>
      <c r="I518" s="340" t="e">
        <f aca="false">#REF!*H518</f>
        <v>#REF!</v>
      </c>
    </row>
    <row r="519" customFormat="false" ht="14.9" hidden="false" customHeight="false" outlineLevel="0" collapsed="false">
      <c r="B519" s="368"/>
      <c r="C519" s="368"/>
      <c r="D519" s="353" t="str">
        <f aca="false">+VLOOKUP($A518,[1]BASEdades!$A$3:$AA$282,4,FALSE())</f>
        <v>Subministrament i col.locació de rampa de fusta d'acàcia</v>
      </c>
      <c r="E519" s="341"/>
      <c r="F519" s="341"/>
      <c r="G519" s="341"/>
      <c r="H519" s="344"/>
      <c r="I519" s="370"/>
    </row>
    <row r="520" customFormat="false" ht="14.9" hidden="false" customHeight="false" outlineLevel="0" collapsed="false">
      <c r="B520" s="368"/>
      <c r="C520" s="368"/>
      <c r="D520" s="341" t="str">
        <f aca="false">+VLOOKUP($A518,[1]BASEdades!$A$3:$AA$282,5,FALSE())</f>
        <v>.mides: 120x45cm</v>
      </c>
      <c r="E520" s="341"/>
      <c r="F520" s="341"/>
      <c r="G520" s="341"/>
      <c r="H520" s="344"/>
      <c r="I520" s="370"/>
    </row>
    <row r="521" customFormat="false" ht="14.9" hidden="false" customHeight="false" outlineLevel="0" collapsed="false">
      <c r="B521" s="368"/>
      <c r="C521" s="368"/>
      <c r="D521" s="341" t="str">
        <f aca="false">+VLOOKUP($A518,[1]BASEdades!$A$3:$AA$282,6,FALSE())</f>
        <v>.</v>
      </c>
      <c r="E521" s="348"/>
      <c r="F521" s="348"/>
      <c r="G521" s="348"/>
      <c r="H521" s="344"/>
      <c r="I521" s="370"/>
    </row>
    <row r="522" customFormat="false" ht="13.8" hidden="false" customHeight="false" outlineLevel="0" collapsed="false">
      <c r="B522" s="368"/>
      <c r="C522" s="368"/>
      <c r="D522" s="416" t="s">
        <v>1066</v>
      </c>
      <c r="E522" s="378" t="n">
        <f aca="false">+VLOOKUP($D522,PREUS!$B$1:$F$589,3,FALSE())</f>
        <v>123.5</v>
      </c>
      <c r="F522" s="378" t="str">
        <f aca="false">+VLOOKUP($D522,PREUS!$B$1:$F$589,4,FALSE())</f>
        <v>ut</v>
      </c>
      <c r="G522" s="394" t="n">
        <v>1</v>
      </c>
      <c r="H522" s="419" t="n">
        <f aca="false">E522*G522</f>
        <v>123.5</v>
      </c>
      <c r="I522" s="370"/>
    </row>
    <row r="523" customFormat="false" ht="13.8" hidden="false" customHeight="false" outlineLevel="0" collapsed="false">
      <c r="B523" s="368"/>
      <c r="C523" s="368"/>
      <c r="D523" s="416" t="s">
        <v>989</v>
      </c>
      <c r="E523" s="378" t="n">
        <f aca="false">+VLOOKUP($D523,PREUS!$B$1:$F$589,3,FALSE())</f>
        <v>30.79</v>
      </c>
      <c r="F523" s="378" t="str">
        <f aca="false">+VLOOKUP($D523,PREUS!$B$1:$F$589,4,FALSE())</f>
        <v>h</v>
      </c>
      <c r="G523" s="418" t="n">
        <v>0.4855</v>
      </c>
      <c r="H523" s="419" t="n">
        <f aca="false">E523*G523</f>
        <v>14.948545</v>
      </c>
    </row>
    <row r="524" customFormat="false" ht="13.8" hidden="false" customHeight="false" outlineLevel="0" collapsed="false">
      <c r="B524" s="368"/>
      <c r="C524" s="368"/>
      <c r="D524" s="416" t="s">
        <v>986</v>
      </c>
      <c r="E524" s="378" t="n">
        <f aca="false">+VLOOKUP($D524,PREUS!$B$1:$F$589,3,FALSE())</f>
        <v>25.8</v>
      </c>
      <c r="F524" s="378" t="str">
        <f aca="false">+VLOOKUP($D524,PREUS!$B$1:$F$589,4,FALSE())</f>
        <v>h</v>
      </c>
      <c r="G524" s="418" t="n">
        <v>0.4858</v>
      </c>
      <c r="H524" s="419" t="n">
        <f aca="false">E524*G524</f>
        <v>12.53364</v>
      </c>
    </row>
    <row r="525" customFormat="false" ht="13.8" hidden="false" customHeight="false" outlineLevel="0" collapsed="false">
      <c r="B525" s="368"/>
      <c r="C525" s="368"/>
      <c r="D525" s="286" t="s">
        <v>987</v>
      </c>
      <c r="E525" s="379" t="n">
        <f aca="false">SUM(H522:H524)</f>
        <v>150.982185</v>
      </c>
      <c r="F525" s="403" t="s">
        <v>988</v>
      </c>
      <c r="G525" s="422" t="n">
        <v>0.02</v>
      </c>
      <c r="H525" s="419" t="n">
        <f aca="false">E525*G525</f>
        <v>3.0196437</v>
      </c>
    </row>
    <row r="526" customFormat="false" ht="13.8" hidden="false" customHeight="false" outlineLevel="0" collapsed="false">
      <c r="B526" s="368"/>
      <c r="C526" s="368"/>
      <c r="D526" s="350"/>
      <c r="E526" s="348"/>
      <c r="F526" s="348"/>
      <c r="G526" s="348"/>
      <c r="H526" s="344"/>
      <c r="I526" s="370"/>
    </row>
    <row r="527" customFormat="false" ht="13.8" hidden="false" customHeight="false" outlineLevel="0" collapsed="false">
      <c r="A527" s="329" t="s">
        <v>545</v>
      </c>
      <c r="B527" s="337"/>
      <c r="C527" s="337" t="str">
        <f aca="false">+VLOOKUP($A527,[1]BASEdades!$A$3:$AA$282,3,FALSE())</f>
        <v>ut</v>
      </c>
      <c r="D527" s="367" t="str">
        <f aca="false">+VLOOKUP($A527,[1]BASEdades!$A$3:$AA$297,2,FALSE())</f>
        <v>Tipi hexagonal petit</v>
      </c>
      <c r="E527" s="338"/>
      <c r="F527" s="338"/>
      <c r="G527" s="338"/>
      <c r="H527" s="340" t="n">
        <f aca="false">+VLOOKUP($A527,[1]BASEdades!$A$3:$AA$282,7,FALSE())</f>
        <v>2355.4</v>
      </c>
      <c r="I527" s="340" t="e">
        <f aca="false">#REF!*H527</f>
        <v>#REF!</v>
      </c>
    </row>
    <row r="528" customFormat="false" ht="28.35" hidden="false" customHeight="false" outlineLevel="0" collapsed="false">
      <c r="B528" s="368"/>
      <c r="C528" s="368"/>
      <c r="D528" s="353" t="str">
        <f aca="false">+VLOOKUP($A527,[1]BASEdades!$A$3:$AA$282,4,FALSE())</f>
        <v>Subministrament i instal.lació de cabana de fusta amb forma de tipi de sis costats per a exterior. </v>
      </c>
      <c r="E528" s="341"/>
      <c r="F528" s="341"/>
      <c r="G528" s="341"/>
      <c r="H528" s="344"/>
      <c r="I528" s="370"/>
    </row>
    <row r="529" s="277" customFormat="true" ht="14.9" hidden="false" customHeight="false" outlineLevel="0" collapsed="false">
      <c r="B529" s="368"/>
      <c r="C529" s="368"/>
      <c r="D529" s="341" t="str">
        <f aca="false">+VLOOKUP($A527,[1]BASEdades!$A$3:$AA$282,5,FALSE())</f>
        <v>.mides: Diàmetre 143cm Altura 205cm</v>
      </c>
      <c r="E529" s="341"/>
      <c r="F529" s="341"/>
      <c r="G529" s="362"/>
      <c r="H529" s="359"/>
      <c r="I529" s="366"/>
      <c r="M529" s="0"/>
    </row>
    <row r="530" s="277" customFormat="true" ht="14.9" hidden="false" customHeight="false" outlineLevel="0" collapsed="false">
      <c r="B530" s="368"/>
      <c r="C530" s="368"/>
      <c r="D530" s="341" t="str">
        <f aca="false">+VLOOKUP($A527,[1]BASEdades!$A$3:$AA$282,6,FALSE())</f>
        <v>.</v>
      </c>
      <c r="E530" s="348"/>
      <c r="F530" s="348"/>
      <c r="G530" s="352"/>
      <c r="H530" s="359"/>
      <c r="I530" s="366"/>
      <c r="M530" s="0"/>
    </row>
    <row r="531" customFormat="false" ht="13.8" hidden="false" customHeight="false" outlineLevel="0" collapsed="false">
      <c r="B531" s="368"/>
      <c r="C531" s="368"/>
      <c r="D531" s="416" t="s">
        <v>1067</v>
      </c>
      <c r="E531" s="378" t="n">
        <f aca="false">+VLOOKUP($D531,PREUS!$B$1:$F$589,3,FALSE())</f>
        <v>2084.51</v>
      </c>
      <c r="F531" s="378" t="str">
        <f aca="false">+VLOOKUP($D531,PREUS!$B$1:$F$589,4,FALSE())</f>
        <v>ut</v>
      </c>
      <c r="G531" s="394" t="n">
        <v>1</v>
      </c>
      <c r="H531" s="419" t="n">
        <f aca="false">E531*G531</f>
        <v>2084.51</v>
      </c>
    </row>
    <row r="532" customFormat="false" ht="13.8" hidden="false" customHeight="false" outlineLevel="0" collapsed="false">
      <c r="B532" s="368"/>
      <c r="C532" s="368"/>
      <c r="D532" s="416" t="s">
        <v>1047</v>
      </c>
      <c r="E532" s="378" t="n">
        <f aca="false">+VLOOKUP($D532,PREUS!$B$1:$F$589,3,FALSE())</f>
        <v>30.76</v>
      </c>
      <c r="F532" s="378" t="str">
        <f aca="false">+VLOOKUP($D532,PREUS!$B$1:$F$589,4,FALSE())</f>
        <v>h</v>
      </c>
      <c r="G532" s="394" t="n">
        <v>4</v>
      </c>
      <c r="H532" s="419" t="n">
        <f aca="false">E532*G532</f>
        <v>123.04</v>
      </c>
    </row>
    <row r="533" customFormat="false" ht="13.8" hidden="false" customHeight="false" outlineLevel="0" collapsed="false">
      <c r="B533" s="368"/>
      <c r="C533" s="368"/>
      <c r="D533" s="416" t="s">
        <v>986</v>
      </c>
      <c r="E533" s="378" t="n">
        <f aca="false">+VLOOKUP($D533,PREUS!$B$1:$F$589,3,FALSE())</f>
        <v>25.8</v>
      </c>
      <c r="F533" s="378" t="str">
        <f aca="false">+VLOOKUP($D533,PREUS!$B$1:$F$589,4,FALSE())</f>
        <v>h</v>
      </c>
      <c r="G533" s="394" t="n">
        <v>4</v>
      </c>
      <c r="H533" s="419" t="n">
        <f aca="false">E533*G533</f>
        <v>103.2</v>
      </c>
    </row>
    <row r="534" customFormat="false" ht="13.8" hidden="false" customHeight="false" outlineLevel="0" collapsed="false">
      <c r="B534" s="368"/>
      <c r="C534" s="368"/>
      <c r="D534" s="286" t="s">
        <v>987</v>
      </c>
      <c r="E534" s="379" t="n">
        <f aca="false">SUM(H531:H533)</f>
        <v>2310.75</v>
      </c>
      <c r="F534" s="403" t="s">
        <v>988</v>
      </c>
      <c r="G534" s="422" t="n">
        <v>0.02</v>
      </c>
      <c r="H534" s="419" t="n">
        <f aca="false">E534*G534</f>
        <v>46.215</v>
      </c>
    </row>
    <row r="535" s="277" customFormat="true" ht="13.8" hidden="false" customHeight="false" outlineLevel="0" collapsed="false">
      <c r="B535" s="361"/>
      <c r="C535" s="361"/>
      <c r="D535" s="362"/>
      <c r="E535" s="352"/>
      <c r="F535" s="352"/>
      <c r="G535" s="352"/>
      <c r="H535" s="359"/>
      <c r="I535" s="366"/>
      <c r="M535" s="0"/>
    </row>
    <row r="536" customFormat="false" ht="13.8" hidden="false" customHeight="false" outlineLevel="0" collapsed="false">
      <c r="A536" s="329" t="s">
        <v>541</v>
      </c>
      <c r="B536" s="375"/>
      <c r="C536" s="337" t="str">
        <f aca="false">+VLOOKUP($A536,[1]BASEdades!$A$3:$AA$282,3,FALSE())</f>
        <v>ut</v>
      </c>
      <c r="D536" s="367" t="str">
        <f aca="false">+VLOOKUP($A536,[1]BASEdades!$A$3:$AA$297,2,FALSE())</f>
        <v>Cabana niu d'ocells</v>
      </c>
      <c r="E536" s="338"/>
      <c r="F536" s="338"/>
      <c r="G536" s="338"/>
      <c r="H536" s="340" t="n">
        <f aca="false">+VLOOKUP($A536,[1]BASEdades!$A$3:$AA$282,7,FALSE())</f>
        <v>2862</v>
      </c>
      <c r="I536" s="340" t="e">
        <f aca="false">#REF!*H536</f>
        <v>#REF!</v>
      </c>
    </row>
    <row r="537" customFormat="false" ht="28.35" hidden="false" customHeight="false" outlineLevel="0" collapsed="false">
      <c r="B537" s="368"/>
      <c r="C537" s="368"/>
      <c r="D537" s="353" t="str">
        <f aca="false">+VLOOKUP($A536,[1]BASEdades!$A$3:$AA$282,4,FALSE())</f>
        <v>Subministrament i instal.lació de cabana de fusta d'càcia en forma de niu d'ocell. </v>
      </c>
      <c r="E537" s="341"/>
      <c r="F537" s="341"/>
      <c r="G537" s="341"/>
      <c r="H537" s="344"/>
      <c r="I537" s="370"/>
    </row>
    <row r="538" customFormat="false" ht="14.9" hidden="false" customHeight="false" outlineLevel="0" collapsed="false">
      <c r="B538" s="368"/>
      <c r="C538" s="368"/>
      <c r="D538" s="341" t="str">
        <f aca="false">+VLOOKUP($A536,[1]BASEdades!$A$3:$AA$282,5,FALSE())</f>
        <v>.mides: 120x160x125cm (h.25cm per sobre terra)</v>
      </c>
      <c r="E538" s="341"/>
      <c r="F538" s="341"/>
      <c r="G538" s="341"/>
      <c r="H538" s="344"/>
      <c r="I538" s="370"/>
    </row>
    <row r="539" customFormat="false" ht="14.9" hidden="false" customHeight="false" outlineLevel="0" collapsed="false">
      <c r="B539" s="368"/>
      <c r="C539" s="368"/>
      <c r="D539" s="341" t="str">
        <f aca="false">+VLOOKUP($A536,[1]BASEdades!$A$3:$AA$282,6,FALSE())</f>
        <v>.</v>
      </c>
      <c r="E539" s="348"/>
      <c r="F539" s="348"/>
      <c r="G539" s="348"/>
      <c r="H539" s="344"/>
      <c r="I539" s="370"/>
    </row>
    <row r="540" customFormat="false" ht="13.8" hidden="false" customHeight="false" outlineLevel="0" collapsed="false">
      <c r="B540" s="368"/>
      <c r="C540" s="368"/>
      <c r="D540" s="416" t="s">
        <v>1068</v>
      </c>
      <c r="E540" s="378" t="n">
        <f aca="false">+VLOOKUP($D540,PREUS!$B$1:$F$589,3,FALSE())</f>
        <v>2115</v>
      </c>
      <c r="F540" s="378" t="str">
        <f aca="false">+VLOOKUP($D540,PREUS!$B$1:$F$589,4,FALSE())</f>
        <v>ut</v>
      </c>
      <c r="G540" s="394" t="n">
        <v>1</v>
      </c>
      <c r="H540" s="419" t="n">
        <f aca="false">E540*G540</f>
        <v>2115</v>
      </c>
    </row>
    <row r="541" customFormat="false" ht="13.8" hidden="false" customHeight="false" outlineLevel="0" collapsed="false">
      <c r="B541" s="368"/>
      <c r="C541" s="368"/>
      <c r="D541" s="416" t="s">
        <v>1047</v>
      </c>
      <c r="E541" s="378" t="n">
        <f aca="false">+VLOOKUP($D541,PREUS!$B$1:$F$589,3,FALSE())</f>
        <v>30.76</v>
      </c>
      <c r="F541" s="378" t="str">
        <f aca="false">+VLOOKUP($D541,PREUS!$B$1:$F$589,4,FALSE())</f>
        <v>h</v>
      </c>
      <c r="G541" s="394" t="n">
        <v>12</v>
      </c>
      <c r="H541" s="419" t="n">
        <f aca="false">E541*G541</f>
        <v>369.12</v>
      </c>
    </row>
    <row r="542" customFormat="false" ht="13.8" hidden="false" customHeight="false" outlineLevel="0" collapsed="false">
      <c r="B542" s="368"/>
      <c r="C542" s="368"/>
      <c r="D542" s="416" t="s">
        <v>986</v>
      </c>
      <c r="E542" s="378" t="n">
        <f aca="false">+VLOOKUP($D542,PREUS!$B$1:$F$589,3,FALSE())</f>
        <v>25.8</v>
      </c>
      <c r="F542" s="378" t="str">
        <f aca="false">+VLOOKUP($D542,PREUS!$B$1:$F$589,4,FALSE())</f>
        <v>h</v>
      </c>
      <c r="G542" s="394" t="n">
        <v>12</v>
      </c>
      <c r="H542" s="419" t="n">
        <f aca="false">E542*G542</f>
        <v>309.6</v>
      </c>
    </row>
    <row r="543" customFormat="false" ht="13.8" hidden="false" customHeight="false" outlineLevel="0" collapsed="false">
      <c r="B543" s="368"/>
      <c r="C543" s="368"/>
      <c r="D543" s="286" t="s">
        <v>987</v>
      </c>
      <c r="E543" s="379" t="n">
        <f aca="false">SUM(H540:H542)</f>
        <v>2793.72</v>
      </c>
      <c r="F543" s="403" t="s">
        <v>988</v>
      </c>
      <c r="G543" s="422" t="n">
        <v>0.02</v>
      </c>
      <c r="H543" s="419" t="n">
        <f aca="false">E543*G543</f>
        <v>55.8744</v>
      </c>
    </row>
    <row r="544" s="277" customFormat="true" ht="13.8" hidden="false" customHeight="false" outlineLevel="0" collapsed="false">
      <c r="B544" s="368"/>
      <c r="C544" s="368"/>
      <c r="D544" s="341"/>
      <c r="E544" s="348"/>
      <c r="F544" s="348"/>
      <c r="G544" s="348"/>
      <c r="H544" s="344"/>
      <c r="I544" s="370"/>
      <c r="J544" s="286"/>
      <c r="M544" s="0"/>
    </row>
    <row r="545" s="277" customFormat="true" ht="13.8" hidden="false" customHeight="false" outlineLevel="0" collapsed="false">
      <c r="A545" s="354" t="s">
        <v>316</v>
      </c>
      <c r="B545" s="337"/>
      <c r="C545" s="337" t="str">
        <f aca="false">+VLOOKUP($A545,[1]BASEdades!$A$3:$AA$282,3,FALSE())</f>
        <v>ut</v>
      </c>
      <c r="D545" s="367" t="str">
        <f aca="false">+VLOOKUP($A545,[1]BASEdades!$A$3:$AA$297,2,FALSE())</f>
        <v>Xarxa per grimpar </v>
      </c>
      <c r="E545" s="338"/>
      <c r="F545" s="338"/>
      <c r="G545" s="338"/>
      <c r="H545" s="340" t="n">
        <f aca="false">+VLOOKUP($A545,[1]BASEdades!$A$3:$AA$282,7,FALSE())</f>
        <v>780</v>
      </c>
      <c r="I545" s="340" t="e">
        <f aca="false">#REF!*H545</f>
        <v>#REF!</v>
      </c>
      <c r="J545" s="286"/>
      <c r="M545" s="0"/>
    </row>
    <row r="546" s="277" customFormat="true" ht="28.35" hidden="false" customHeight="false" outlineLevel="0" collapsed="false">
      <c r="B546" s="368"/>
      <c r="C546" s="368"/>
      <c r="D546" s="353" t="str">
        <f aca="false">+VLOOKUP($A545,[1]BASEdades!$A$3:$AA$282,4,FALSE())</f>
        <v>Subministrament i instal·lació d'estructura de 4 troncs d'acàcia amb xarxa de corda. </v>
      </c>
      <c r="E546" s="341"/>
      <c r="F546" s="341"/>
      <c r="G546" s="341"/>
      <c r="H546" s="344"/>
      <c r="I546" s="370"/>
      <c r="J546" s="286"/>
      <c r="M546" s="0"/>
    </row>
    <row r="547" s="277" customFormat="true" ht="14.9" hidden="false" customHeight="false" outlineLevel="0" collapsed="false">
      <c r="B547" s="368"/>
      <c r="C547" s="368"/>
      <c r="D547" s="341" t="str">
        <f aca="false">+VLOOKUP($A545,[1]BASEdades!$A$3:$AA$282,5,FALSE())</f>
        <v>.mides 1,8x1,80m</v>
      </c>
      <c r="E547" s="341"/>
      <c r="F547" s="341"/>
      <c r="G547" s="341"/>
      <c r="H547" s="344"/>
      <c r="I547" s="370"/>
      <c r="J547" s="286"/>
      <c r="M547" s="0"/>
    </row>
    <row r="548" s="277" customFormat="true" ht="14.9" hidden="false" customHeight="false" outlineLevel="0" collapsed="false">
      <c r="B548" s="368"/>
      <c r="C548" s="368"/>
      <c r="D548" s="341" t="str">
        <f aca="false">+VLOOKUP($A545,[1]BASEdades!$A$3:$AA$282,6,FALSE())</f>
        <v>.</v>
      </c>
      <c r="E548" s="348"/>
      <c r="F548" s="348"/>
      <c r="G548" s="348"/>
      <c r="H548" s="344"/>
      <c r="I548" s="370"/>
      <c r="J548" s="286"/>
      <c r="M548" s="0"/>
    </row>
    <row r="549" s="277" customFormat="true" ht="15" hidden="false" customHeight="true" outlineLevel="0" collapsed="false">
      <c r="B549" s="368"/>
      <c r="C549" s="368"/>
      <c r="D549" s="423" t="s">
        <v>1069</v>
      </c>
      <c r="E549" s="378" t="n">
        <f aca="false">+VLOOKUP($D549,PREUS!$B$1:$F$589,3,FALSE())</f>
        <v>560</v>
      </c>
      <c r="F549" s="378" t="str">
        <f aca="false">+VLOOKUP($D549,PREUS!$B$1:$F$589,4,FALSE())</f>
        <v>ut</v>
      </c>
      <c r="G549" s="394" t="n">
        <v>1</v>
      </c>
      <c r="H549" s="419" t="n">
        <f aca="false">E549*G549</f>
        <v>560</v>
      </c>
      <c r="I549" s="304"/>
      <c r="J549" s="286"/>
      <c r="M549" s="0"/>
    </row>
    <row r="550" s="277" customFormat="true" ht="13.8" hidden="false" customHeight="false" outlineLevel="0" collapsed="false">
      <c r="B550" s="368"/>
      <c r="C550" s="368"/>
      <c r="D550" s="416" t="s">
        <v>1047</v>
      </c>
      <c r="E550" s="378" t="n">
        <f aca="false">+VLOOKUP($D550,PREUS!$B$1:$F$589,3,FALSE())</f>
        <v>30.76</v>
      </c>
      <c r="F550" s="378" t="str">
        <f aca="false">+VLOOKUP($D550,PREUS!$B$1:$F$589,4,FALSE())</f>
        <v>h</v>
      </c>
      <c r="G550" s="394" t="n">
        <v>3.63</v>
      </c>
      <c r="H550" s="419" t="n">
        <f aca="false">E550*G550</f>
        <v>111.6588</v>
      </c>
      <c r="I550" s="304"/>
      <c r="J550" s="286"/>
      <c r="M550" s="0"/>
    </row>
    <row r="551" s="277" customFormat="true" ht="13.8" hidden="false" customHeight="false" outlineLevel="0" collapsed="false">
      <c r="B551" s="368"/>
      <c r="C551" s="368"/>
      <c r="D551" s="416" t="s">
        <v>986</v>
      </c>
      <c r="E551" s="378" t="n">
        <f aca="false">+VLOOKUP($D551,PREUS!$B$1:$F$589,3,FALSE())</f>
        <v>25.8</v>
      </c>
      <c r="F551" s="378" t="str">
        <f aca="false">+VLOOKUP($D551,PREUS!$B$1:$F$589,4,FALSE())</f>
        <v>h</v>
      </c>
      <c r="G551" s="418" t="n">
        <v>3.6065</v>
      </c>
      <c r="H551" s="419" t="n">
        <f aca="false">E551*G551</f>
        <v>93.0477</v>
      </c>
      <c r="I551" s="304"/>
      <c r="J551" s="286"/>
      <c r="M551" s="0"/>
    </row>
    <row r="552" s="277" customFormat="true" ht="13.8" hidden="false" customHeight="false" outlineLevel="0" collapsed="false">
      <c r="B552" s="368"/>
      <c r="C552" s="368"/>
      <c r="D552" s="286" t="s">
        <v>987</v>
      </c>
      <c r="E552" s="379" t="n">
        <f aca="false">SUM(H549:H551)</f>
        <v>764.7065</v>
      </c>
      <c r="F552" s="403" t="s">
        <v>988</v>
      </c>
      <c r="G552" s="394" t="n">
        <v>0.02</v>
      </c>
      <c r="H552" s="419" t="n">
        <f aca="false">E552*G552</f>
        <v>15.29413</v>
      </c>
      <c r="I552" s="304"/>
      <c r="J552" s="286"/>
      <c r="M552" s="0"/>
    </row>
    <row r="553" s="277" customFormat="true" ht="13.8" hidden="false" customHeight="false" outlineLevel="0" collapsed="false">
      <c r="B553" s="368"/>
      <c r="C553" s="368"/>
      <c r="D553" s="350"/>
      <c r="E553" s="348"/>
      <c r="F553" s="348"/>
      <c r="G553" s="348"/>
      <c r="H553" s="344"/>
      <c r="I553" s="370"/>
      <c r="J553" s="286"/>
      <c r="M553" s="0"/>
    </row>
    <row r="554" customFormat="false" ht="13.8" hidden="false" customHeight="false" outlineLevel="0" collapsed="false">
      <c r="A554" s="329" t="s">
        <v>528</v>
      </c>
      <c r="B554" s="337"/>
      <c r="C554" s="337" t="str">
        <f aca="false">+VLOOKUP($A554,[1]BASEdades!$A$3:$AA$282,3,FALSE())</f>
        <v>ut</v>
      </c>
      <c r="D554" s="367" t="str">
        <f aca="false">+VLOOKUP($A554,[1]BASEdades!$A$3:$AA$297,2,FALSE())</f>
        <v>Cabana de fusta</v>
      </c>
      <c r="E554" s="338"/>
      <c r="F554" s="338"/>
      <c r="G554" s="338"/>
      <c r="H554" s="340" t="n">
        <f aca="false">+VLOOKUP($A554,[1]BASEdades!$A$3:$AA$282,7,FALSE())</f>
        <v>1636.37</v>
      </c>
      <c r="I554" s="340" t="e">
        <f aca="false">#REF!*H554</f>
        <v>#REF!</v>
      </c>
    </row>
    <row r="555" customFormat="false" ht="28.35" hidden="false" customHeight="false" outlineLevel="0" collapsed="false">
      <c r="B555" s="368"/>
      <c r="C555" s="368"/>
      <c r="D555" s="353" t="str">
        <f aca="false">+VLOOKUP($A554,[1]BASEdades!$A$3:$AA$282,4,FALSE())</f>
        <v>Subministrament i instal.lació de cabana de fusta amb teulada a dues aigües i finestres.</v>
      </c>
      <c r="E555" s="341"/>
      <c r="F555" s="341"/>
      <c r="G555" s="341"/>
      <c r="H555" s="344"/>
      <c r="I555" s="370"/>
    </row>
    <row r="556" customFormat="false" ht="14.9" hidden="false" customHeight="false" outlineLevel="0" collapsed="false">
      <c r="B556" s="368"/>
      <c r="C556" s="368"/>
      <c r="D556" s="341" t="str">
        <f aca="false">+VLOOKUP($A554,[1]BASEdades!$A$3:$AA$282,5,FALSE())</f>
        <v>.mides: 140x160x155cm</v>
      </c>
      <c r="E556" s="341"/>
      <c r="F556" s="341"/>
      <c r="G556" s="341"/>
      <c r="H556" s="344"/>
      <c r="I556" s="370"/>
    </row>
    <row r="557" customFormat="false" ht="14.9" hidden="false" customHeight="false" outlineLevel="0" collapsed="false">
      <c r="B557" s="368"/>
      <c r="C557" s="368"/>
      <c r="D557" s="341" t="str">
        <f aca="false">+VLOOKUP($A554,[1]BASEdades!$A$3:$AA$282,6,FALSE())</f>
        <v>.</v>
      </c>
      <c r="E557" s="348"/>
      <c r="F557" s="348"/>
      <c r="G557" s="348"/>
      <c r="H557" s="344"/>
      <c r="I557" s="370"/>
    </row>
    <row r="558" customFormat="false" ht="13.8" hidden="false" customHeight="false" outlineLevel="0" collapsed="false">
      <c r="B558" s="368"/>
      <c r="C558" s="368"/>
      <c r="D558" s="416" t="s">
        <v>1070</v>
      </c>
      <c r="E558" s="378" t="n">
        <f aca="false">+VLOOKUP($D558,PREUS!$B$1:$F$589,3,FALSE())</f>
        <v>967.15</v>
      </c>
      <c r="F558" s="378" t="str">
        <f aca="false">+VLOOKUP($D558,PREUS!$B$1:$F$589,4,FALSE())</f>
        <v>ut</v>
      </c>
      <c r="G558" s="394" t="n">
        <v>1</v>
      </c>
      <c r="H558" s="419" t="n">
        <f aca="false">E558*G558</f>
        <v>967.15</v>
      </c>
    </row>
    <row r="559" customFormat="false" ht="13.8" hidden="false" customHeight="false" outlineLevel="0" collapsed="false">
      <c r="B559" s="368"/>
      <c r="C559" s="368"/>
      <c r="D559" s="416" t="s">
        <v>1047</v>
      </c>
      <c r="E559" s="378" t="n">
        <f aca="false">+VLOOKUP($D559,PREUS!$B$1:$F$589,3,FALSE())</f>
        <v>30.76</v>
      </c>
      <c r="F559" s="378" t="str">
        <f aca="false">+VLOOKUP($D559,PREUS!$B$1:$F$589,4,FALSE())</f>
        <v>h</v>
      </c>
      <c r="G559" s="394" t="n">
        <v>11</v>
      </c>
      <c r="H559" s="419" t="n">
        <f aca="false">E559*G559</f>
        <v>338.36</v>
      </c>
    </row>
    <row r="560" customFormat="false" ht="13.8" hidden="false" customHeight="false" outlineLevel="0" collapsed="false">
      <c r="B560" s="368"/>
      <c r="C560" s="368"/>
      <c r="D560" s="416" t="s">
        <v>986</v>
      </c>
      <c r="E560" s="378" t="n">
        <f aca="false">+VLOOKUP($D560,PREUS!$B$1:$F$589,3,FALSE())</f>
        <v>25.8</v>
      </c>
      <c r="F560" s="378" t="str">
        <f aca="false">+VLOOKUP($D560,PREUS!$B$1:$F$589,4,FALSE())</f>
        <v>h</v>
      </c>
      <c r="G560" s="394" t="n">
        <v>11</v>
      </c>
      <c r="H560" s="419" t="n">
        <f aca="false">E560*G560</f>
        <v>283.8</v>
      </c>
    </row>
    <row r="561" customFormat="false" ht="13.8" hidden="false" customHeight="false" outlineLevel="0" collapsed="false">
      <c r="B561" s="368"/>
      <c r="C561" s="368"/>
      <c r="D561" s="286" t="s">
        <v>987</v>
      </c>
      <c r="E561" s="379" t="n">
        <f aca="false">SUM(H558:H560)</f>
        <v>1589.31</v>
      </c>
      <c r="F561" s="403" t="s">
        <v>988</v>
      </c>
      <c r="G561" s="422" t="n">
        <v>0.02</v>
      </c>
      <c r="H561" s="419" t="n">
        <f aca="false">E561*G561</f>
        <v>31.7862</v>
      </c>
    </row>
    <row r="562" customFormat="false" ht="13.8" hidden="false" customHeight="false" outlineLevel="0" collapsed="false">
      <c r="B562" s="368"/>
      <c r="C562" s="368"/>
      <c r="D562" s="341"/>
      <c r="E562" s="348"/>
      <c r="F562" s="348"/>
      <c r="G562" s="348"/>
      <c r="H562" s="344"/>
      <c r="I562" s="370"/>
    </row>
    <row r="563" customFormat="false" ht="13.8" hidden="false" customHeight="false" outlineLevel="0" collapsed="false">
      <c r="A563" s="329" t="s">
        <v>479</v>
      </c>
      <c r="B563" s="337"/>
      <c r="C563" s="337" t="str">
        <f aca="false">+VLOOKUP($A563,[1]BASEdades!$A$3:$AA$282,3,FALSE())</f>
        <v>ut</v>
      </c>
      <c r="D563" s="367" t="str">
        <f aca="false">+VLOOKUP($A563,[1]BASEdades!$A$3:$AA$297,2,FALSE())</f>
        <v>Banc de mig tronc petit</v>
      </c>
      <c r="E563" s="338"/>
      <c r="F563" s="338"/>
      <c r="G563" s="338"/>
      <c r="H563" s="340" t="n">
        <f aca="false">+VLOOKUP($A563,[1]BASEdades!$A$3:$AA$282,7,FALSE())</f>
        <v>227.48</v>
      </c>
      <c r="I563" s="340" t="e">
        <f aca="false">#REF!*H563</f>
        <v>#REF!</v>
      </c>
    </row>
    <row r="564" customFormat="false" ht="28.35" hidden="false" customHeight="false" outlineLevel="0" collapsed="false">
      <c r="B564" s="368"/>
      <c r="C564" s="368"/>
      <c r="D564" s="353" t="str">
        <f aca="false">+VLOOKUP($A563,[1]BASEdades!$A$3:$AA$282,4,FALSE())</f>
        <v>Subministrament i instal·lació de banc fet amb mig tronc d'acàcia</v>
      </c>
      <c r="E564" s="341"/>
      <c r="F564" s="341"/>
      <c r="G564" s="341"/>
      <c r="H564" s="344"/>
      <c r="I564" s="370"/>
    </row>
    <row r="565" customFormat="false" ht="14.9" hidden="false" customHeight="false" outlineLevel="0" collapsed="false">
      <c r="B565" s="368"/>
      <c r="C565" s="368"/>
      <c r="D565" s="341" t="str">
        <f aca="false">+VLOOKUP($A563,[1]BASEdades!$A$3:$AA$282,5,FALSE())</f>
        <v>.mides: 80x25x30 cm</v>
      </c>
      <c r="E565" s="341"/>
      <c r="F565" s="341"/>
      <c r="G565" s="341"/>
      <c r="H565" s="344"/>
      <c r="I565" s="370"/>
    </row>
    <row r="566" customFormat="false" ht="14.9" hidden="false" customHeight="false" outlineLevel="0" collapsed="false">
      <c r="B566" s="368"/>
      <c r="C566" s="368"/>
      <c r="D566" s="341" t="str">
        <f aca="false">+VLOOKUP($A563,[1]BASEdades!$A$3:$AA$282,6,FALSE())</f>
        <v>.</v>
      </c>
      <c r="E566" s="341"/>
      <c r="F566" s="341"/>
      <c r="G566" s="341"/>
      <c r="H566" s="344"/>
      <c r="I566" s="370"/>
    </row>
    <row r="567" customFormat="false" ht="13.8" hidden="false" customHeight="false" outlineLevel="0" collapsed="false">
      <c r="B567" s="368"/>
      <c r="C567" s="368"/>
      <c r="D567" s="416" t="s">
        <v>1071</v>
      </c>
      <c r="E567" s="378" t="n">
        <f aca="false">+VLOOKUP($D567,PREUS!$B$1:$F$589,3,FALSE())</f>
        <v>163.8</v>
      </c>
      <c r="F567" s="378" t="str">
        <f aca="false">+VLOOKUP($D567,PREUS!$B$1:$F$589,4,FALSE())</f>
        <v>ut</v>
      </c>
      <c r="G567" s="394" t="n">
        <v>1</v>
      </c>
      <c r="H567" s="419" t="n">
        <f aca="false">E567*G567</f>
        <v>163.8</v>
      </c>
    </row>
    <row r="568" customFormat="false" ht="13.8" hidden="false" customHeight="false" outlineLevel="0" collapsed="false">
      <c r="B568" s="368"/>
      <c r="C568" s="368"/>
      <c r="D568" s="416" t="s">
        <v>1047</v>
      </c>
      <c r="E568" s="378" t="n">
        <f aca="false">+VLOOKUP($D568,PREUS!$B$1:$F$589,3,FALSE())</f>
        <v>30.76</v>
      </c>
      <c r="F568" s="378" t="str">
        <f aca="false">+VLOOKUP($D568,PREUS!$B$1:$F$589,4,FALSE())</f>
        <v>h</v>
      </c>
      <c r="G568" s="394" t="n">
        <v>1</v>
      </c>
      <c r="H568" s="419" t="n">
        <f aca="false">E568*G568</f>
        <v>30.76</v>
      </c>
    </row>
    <row r="569" customFormat="false" ht="13.8" hidden="false" customHeight="false" outlineLevel="0" collapsed="false">
      <c r="B569" s="368"/>
      <c r="C569" s="368"/>
      <c r="D569" s="416" t="s">
        <v>986</v>
      </c>
      <c r="E569" s="378" t="n">
        <f aca="false">+VLOOKUP($D569,PREUS!$B$1:$F$589,3,FALSE())</f>
        <v>25.8</v>
      </c>
      <c r="F569" s="378" t="str">
        <f aca="false">+VLOOKUP($D569,PREUS!$B$1:$F$589,4,FALSE())</f>
        <v>h</v>
      </c>
      <c r="G569" s="394" t="n">
        <v>1</v>
      </c>
      <c r="H569" s="419" t="n">
        <f aca="false">E569*G569</f>
        <v>25.8</v>
      </c>
    </row>
    <row r="570" customFormat="false" ht="13.8" hidden="false" customHeight="false" outlineLevel="0" collapsed="false">
      <c r="B570" s="368"/>
      <c r="C570" s="368"/>
      <c r="D570" s="286" t="s">
        <v>987</v>
      </c>
      <c r="E570" s="379" t="n">
        <f aca="false">SUM(H567:H569)</f>
        <v>220.36</v>
      </c>
      <c r="F570" s="403" t="s">
        <v>988</v>
      </c>
      <c r="G570" s="422" t="n">
        <v>0.02</v>
      </c>
      <c r="H570" s="419" t="n">
        <f aca="false">E570*G570</f>
        <v>4.4072</v>
      </c>
    </row>
    <row r="571" customFormat="false" ht="13.8" hidden="false" customHeight="false" outlineLevel="0" collapsed="false">
      <c r="B571" s="368"/>
      <c r="C571" s="368"/>
      <c r="D571" s="376"/>
      <c r="E571" s="348"/>
      <c r="F571" s="348"/>
      <c r="G571" s="348"/>
      <c r="H571" s="344"/>
      <c r="I571" s="370"/>
    </row>
    <row r="572" customFormat="false" ht="13.8" hidden="false" customHeight="false" outlineLevel="0" collapsed="false">
      <c r="A572" s="329" t="s">
        <v>424</v>
      </c>
      <c r="B572" s="337"/>
      <c r="C572" s="337" t="str">
        <f aca="false">+VLOOKUP($A572,[1]BASEdades!$A$3:$AA$282,3,FALSE())</f>
        <v>ut</v>
      </c>
      <c r="D572" s="367" t="str">
        <f aca="false">+VLOOKUP($A572,[1]BASEdades!$A$3:$AA$297,2,FALSE())</f>
        <v>Pont mòbil de fusta </v>
      </c>
      <c r="E572" s="338"/>
      <c r="F572" s="338"/>
      <c r="G572" s="338"/>
      <c r="H572" s="340" t="n">
        <f aca="false">+VLOOKUP($A572,[1]BASEdades!$A$3:$AA$282,7,FALSE())</f>
        <v>876.67</v>
      </c>
      <c r="I572" s="340" t="e">
        <f aca="false">#REF!*H572</f>
        <v>#REF!</v>
      </c>
    </row>
    <row r="573" customFormat="false" ht="28.35" hidden="false" customHeight="false" outlineLevel="0" collapsed="false">
      <c r="B573" s="368"/>
      <c r="C573" s="368"/>
      <c r="D573" s="353" t="str">
        <f aca="false">+VLOOKUP($A572,[1]BASEdades!$A$3:$AA$282,4,FALSE())</f>
        <v>Subministrament i instal·lació d'estructura de fusta amb una plataforma mòbil amb baranes de fusta i cordes.</v>
      </c>
      <c r="E573" s="341"/>
      <c r="F573" s="341"/>
      <c r="G573" s="341"/>
      <c r="H573" s="344"/>
      <c r="I573" s="370"/>
    </row>
    <row r="574" customFormat="false" ht="14.9" hidden="false" customHeight="false" outlineLevel="0" collapsed="false">
      <c r="B574" s="368"/>
      <c r="C574" s="368"/>
      <c r="D574" s="341" t="str">
        <f aca="false">+VLOOKUP($A572,[1]BASEdades!$A$3:$AA$282,5,FALSE())</f>
        <v>.mides:147 x 70 x 70cm</v>
      </c>
      <c r="E574" s="341"/>
      <c r="F574" s="341"/>
      <c r="G574" s="341"/>
      <c r="H574" s="344"/>
      <c r="I574" s="370"/>
    </row>
    <row r="575" customFormat="false" ht="14.9" hidden="false" customHeight="false" outlineLevel="0" collapsed="false">
      <c r="B575" s="368"/>
      <c r="C575" s="368"/>
      <c r="D575" s="341" t="str">
        <f aca="false">+VLOOKUP($A572,[1]BASEdades!$A$3:$AA$282,6,FALSE())</f>
        <v>.</v>
      </c>
      <c r="E575" s="341"/>
      <c r="F575" s="341"/>
      <c r="G575" s="341"/>
      <c r="H575" s="344"/>
      <c r="I575" s="370"/>
    </row>
    <row r="576" customFormat="false" ht="13.8" hidden="false" customHeight="false" outlineLevel="0" collapsed="false">
      <c r="B576" s="368"/>
      <c r="C576" s="368"/>
      <c r="D576" s="416" t="s">
        <v>1072</v>
      </c>
      <c r="E576" s="378" t="n">
        <f aca="false">+VLOOKUP($D576,PREUS!$B$1:$F$589,3,FALSE())</f>
        <v>527.08</v>
      </c>
      <c r="F576" s="378" t="str">
        <f aca="false">+VLOOKUP($D576,PREUS!$B$1:$F$589,4,FALSE())</f>
        <v>ut</v>
      </c>
      <c r="G576" s="394" t="n">
        <v>1</v>
      </c>
      <c r="H576" s="419" t="n">
        <f aca="false">E576*G576</f>
        <v>527.08</v>
      </c>
    </row>
    <row r="577" customFormat="false" ht="13.8" hidden="false" customHeight="false" outlineLevel="0" collapsed="false">
      <c r="B577" s="368"/>
      <c r="C577" s="368"/>
      <c r="D577" s="416" t="s">
        <v>1047</v>
      </c>
      <c r="E577" s="378" t="n">
        <f aca="false">+VLOOKUP($D577,PREUS!$B$1:$F$589,3,FALSE())</f>
        <v>30.76</v>
      </c>
      <c r="F577" s="378" t="str">
        <f aca="false">+VLOOKUP($D577,PREUS!$B$1:$F$589,4,FALSE())</f>
        <v>h</v>
      </c>
      <c r="G577" s="394" t="n">
        <v>6</v>
      </c>
      <c r="H577" s="419" t="n">
        <f aca="false">E577*G577</f>
        <v>184.56</v>
      </c>
    </row>
    <row r="578" customFormat="false" ht="13.8" hidden="false" customHeight="false" outlineLevel="0" collapsed="false">
      <c r="B578" s="368"/>
      <c r="C578" s="368"/>
      <c r="D578" s="416" t="s">
        <v>986</v>
      </c>
      <c r="E578" s="378" t="n">
        <f aca="false">+VLOOKUP($D578,PREUS!$B$1:$F$589,3,FALSE())</f>
        <v>25.8</v>
      </c>
      <c r="F578" s="378" t="str">
        <f aca="false">+VLOOKUP($D578,PREUS!$B$1:$F$589,4,FALSE())</f>
        <v>h</v>
      </c>
      <c r="G578" s="394" t="n">
        <v>5.7</v>
      </c>
      <c r="H578" s="419" t="n">
        <f aca="false">E578*G578</f>
        <v>147.06</v>
      </c>
    </row>
    <row r="579" customFormat="false" ht="13.8" hidden="false" customHeight="false" outlineLevel="0" collapsed="false">
      <c r="B579" s="368"/>
      <c r="C579" s="368"/>
      <c r="D579" s="286" t="s">
        <v>987</v>
      </c>
      <c r="E579" s="379" t="n">
        <f aca="false">SUM(H576:H578)</f>
        <v>858.7</v>
      </c>
      <c r="F579" s="403" t="s">
        <v>988</v>
      </c>
      <c r="G579" s="422" t="n">
        <v>0.02</v>
      </c>
      <c r="H579" s="419" t="n">
        <f aca="false">E579*G579</f>
        <v>17.174</v>
      </c>
    </row>
    <row r="580" customFormat="false" ht="13.8" hidden="false" customHeight="false" outlineLevel="0" collapsed="false">
      <c r="B580" s="368"/>
      <c r="C580" s="368"/>
      <c r="D580" s="376"/>
      <c r="E580" s="348"/>
      <c r="F580" s="348"/>
      <c r="G580" s="348"/>
      <c r="H580" s="344"/>
      <c r="I580" s="370"/>
    </row>
    <row r="581" customFormat="false" ht="13.8" hidden="false" customHeight="false" outlineLevel="0" collapsed="false">
      <c r="A581" s="329" t="s">
        <v>280</v>
      </c>
      <c r="B581" s="337"/>
      <c r="C581" s="337" t="str">
        <f aca="false">+VLOOKUP($A581,[1]BASEdades!$A$3:$AA$282,3,FALSE())</f>
        <v>ut</v>
      </c>
      <c r="D581" s="367" t="str">
        <f aca="false">+VLOOKUP($A581,[1]BASEdades!$A$3:$AA$297,2,FALSE())</f>
        <v>Pedres gran format</v>
      </c>
      <c r="E581" s="338"/>
      <c r="F581" s="338"/>
      <c r="G581" s="338"/>
      <c r="H581" s="340" t="n">
        <f aca="false">+VLOOKUP($A581,[1]BASEdades!$A$3:$AA$282,7,FALSE())</f>
        <v>75</v>
      </c>
      <c r="I581" s="340" t="e">
        <f aca="false">#REF!*H581</f>
        <v>#REF!</v>
      </c>
    </row>
    <row r="582" s="277" customFormat="true" ht="68.65" hidden="false" customHeight="false" outlineLevel="0" collapsed="false">
      <c r="B582" s="368"/>
      <c r="C582" s="368"/>
      <c r="D582" s="353" t="str">
        <f aca="false">+VLOOKUP($A581,[1]BASEdades!$A$3:$AA$282,4,FALSE())</f>
        <v>Subministrament i instal·lació de pedres tipus bolo de riu de 200&gt;400kg col·locada sobre el terreny. Inclou p/p de replanteig, excavació manual del terreny, selecció, replé i compactació del terreny contigu i eliminació i neteja del material sobrant.</v>
      </c>
      <c r="E582" s="341"/>
      <c r="F582" s="341"/>
      <c r="G582" s="362"/>
      <c r="H582" s="359"/>
      <c r="I582" s="366"/>
      <c r="M582" s="0"/>
    </row>
    <row r="583" s="277" customFormat="true" ht="14.9" hidden="false" customHeight="false" outlineLevel="0" collapsed="false">
      <c r="B583" s="368"/>
      <c r="C583" s="368"/>
      <c r="D583" s="341" t="str">
        <f aca="false">+VLOOKUP($A581,[1]BASEdades!$A$3:$AA$282,5,FALSE())</f>
        <v>pedres grans: 80/120cm diàmetre. </v>
      </c>
      <c r="E583" s="341"/>
      <c r="F583" s="341"/>
      <c r="G583" s="362"/>
      <c r="H583" s="359"/>
      <c r="I583" s="366"/>
      <c r="M583" s="0"/>
    </row>
    <row r="584" s="277" customFormat="true" ht="14.9" hidden="false" customHeight="false" outlineLevel="0" collapsed="false">
      <c r="B584" s="368"/>
      <c r="C584" s="368"/>
      <c r="D584" s="341" t="str">
        <f aca="false">+VLOOKUP($A581,[1]BASEdades!$A$3:$AA$282,6,FALSE())</f>
        <v>.</v>
      </c>
      <c r="E584" s="341"/>
      <c r="F584" s="341"/>
      <c r="G584" s="362"/>
      <c r="H584" s="359"/>
      <c r="I584" s="366"/>
      <c r="M584" s="0"/>
    </row>
    <row r="585" customFormat="false" ht="13.8" hidden="false" customHeight="false" outlineLevel="0" collapsed="false">
      <c r="B585" s="368"/>
      <c r="C585" s="368"/>
      <c r="D585" s="416" t="s">
        <v>1073</v>
      </c>
      <c r="E585" s="378" t="n">
        <f aca="false">+VLOOKUP($D585,PREUS!$B$1:$F$589,3,FALSE())</f>
        <v>49</v>
      </c>
      <c r="F585" s="378" t="str">
        <f aca="false">+VLOOKUP($D585,PREUS!$B$1:$F$589,4,FALSE())</f>
        <v>ut</v>
      </c>
      <c r="G585" s="418" t="n">
        <v>1</v>
      </c>
      <c r="H585" s="419" t="n">
        <f aca="false">E585*G585</f>
        <v>49</v>
      </c>
    </row>
    <row r="586" customFormat="false" ht="13.8" hidden="false" customHeight="false" outlineLevel="0" collapsed="false">
      <c r="B586" s="368"/>
      <c r="C586" s="368"/>
      <c r="D586" s="416" t="s">
        <v>1047</v>
      </c>
      <c r="E586" s="378" t="n">
        <f aca="false">+VLOOKUP($D586,PREUS!$B$1:$F$589,3,FALSE())</f>
        <v>30.76</v>
      </c>
      <c r="F586" s="378" t="str">
        <f aca="false">+VLOOKUP($D586,PREUS!$B$1:$F$589,4,FALSE())</f>
        <v>h</v>
      </c>
      <c r="G586" s="418" t="n">
        <v>0.2</v>
      </c>
      <c r="H586" s="419" t="n">
        <f aca="false">E586*G586</f>
        <v>6.152</v>
      </c>
    </row>
    <row r="587" customFormat="false" ht="13.8" hidden="false" customHeight="false" outlineLevel="0" collapsed="false">
      <c r="B587" s="368"/>
      <c r="C587" s="368"/>
      <c r="D587" s="416" t="s">
        <v>1056</v>
      </c>
      <c r="E587" s="378" t="n">
        <f aca="false">+VLOOKUP($D587,PREUS!$B$1:$F$589,3,FALSE())</f>
        <v>90.97</v>
      </c>
      <c r="F587" s="378" t="str">
        <f aca="false">+VLOOKUP($D587,PREUS!$B$1:$F$589,4,FALSE())</f>
        <v>h</v>
      </c>
      <c r="G587" s="418" t="n">
        <v>0.15</v>
      </c>
      <c r="H587" s="419" t="n">
        <f aca="false">E587*G587</f>
        <v>13.6455</v>
      </c>
    </row>
    <row r="588" customFormat="false" ht="13.8" hidden="false" customHeight="false" outlineLevel="0" collapsed="false">
      <c r="B588" s="368"/>
      <c r="C588" s="368"/>
      <c r="D588" s="416" t="s">
        <v>986</v>
      </c>
      <c r="E588" s="378" t="n">
        <f aca="false">+VLOOKUP($D588,PREUS!$B$1:$F$589,3,FALSE())</f>
        <v>25.8</v>
      </c>
      <c r="F588" s="378" t="str">
        <f aca="false">+VLOOKUP($D588,PREUS!$B$1:$F$589,4,FALSE())</f>
        <v>h</v>
      </c>
      <c r="G588" s="418" t="n">
        <v>0.2</v>
      </c>
      <c r="H588" s="419" t="n">
        <f aca="false">E588*G588</f>
        <v>5.16</v>
      </c>
    </row>
    <row r="589" customFormat="false" ht="13.8" hidden="false" customHeight="false" outlineLevel="0" collapsed="false">
      <c r="B589" s="368"/>
      <c r="C589" s="368"/>
      <c r="D589" s="286" t="s">
        <v>987</v>
      </c>
      <c r="E589" s="379" t="n">
        <f aca="false">SUM(H585:H588)</f>
        <v>73.9575</v>
      </c>
      <c r="F589" s="403" t="s">
        <v>988</v>
      </c>
      <c r="G589" s="422" t="n">
        <v>0.02</v>
      </c>
      <c r="H589" s="419" t="n">
        <f aca="false">E589*G589</f>
        <v>1.47915</v>
      </c>
    </row>
    <row r="590" s="277" customFormat="true" ht="13.8" hidden="false" customHeight="false" outlineLevel="0" collapsed="false">
      <c r="B590" s="361"/>
      <c r="C590" s="361"/>
      <c r="D590" s="373"/>
      <c r="E590" s="352"/>
      <c r="F590" s="352"/>
      <c r="G590" s="352"/>
      <c r="H590" s="359"/>
      <c r="I590" s="366"/>
      <c r="M590" s="0"/>
    </row>
    <row r="591" customFormat="false" ht="13.8" hidden="false" customHeight="false" outlineLevel="0" collapsed="false">
      <c r="A591" s="329" t="s">
        <v>284</v>
      </c>
      <c r="B591" s="337"/>
      <c r="C591" s="337" t="str">
        <f aca="false">+VLOOKUP($A591,[1]BASEdades!$A$3:$AA$282,3,FALSE())</f>
        <v>ut</v>
      </c>
      <c r="D591" s="367" t="str">
        <f aca="false">+VLOOKUP($A591,[1]BASEdades!$A$3:$AA$297,2,FALSE())</f>
        <v>Pedres mitjanes</v>
      </c>
      <c r="E591" s="338"/>
      <c r="F591" s="338"/>
      <c r="G591" s="338"/>
      <c r="H591" s="340" t="n">
        <f aca="false">+VLOOKUP($A591,[1]BASEdades!$A$3:$AA$282,7,FALSE())</f>
        <v>34</v>
      </c>
      <c r="I591" s="340" t="e">
        <f aca="false">#REF!*H591</f>
        <v>#REF!</v>
      </c>
    </row>
    <row r="592" customFormat="false" ht="55.2" hidden="false" customHeight="false" outlineLevel="0" collapsed="false">
      <c r="B592" s="368"/>
      <c r="C592" s="368"/>
      <c r="D592" s="353" t="str">
        <f aca="false">+VLOOKUP($A591,[1]BASEdades!$A$3:$AA$282,4,FALSE())</f>
        <v>Subministrament i instal·lació de pedres tipus bolo de riu de 30&gt;40kg col·locada sobre el terreny. Inclou p/p de replanteig, excavació manual del terreny, selecció, replé i compactació del terreny contigu i eliminació i neteja del material sobrant.</v>
      </c>
      <c r="E592" s="341"/>
      <c r="F592" s="341"/>
      <c r="G592" s="341"/>
      <c r="H592" s="344"/>
      <c r="I592" s="370"/>
    </row>
    <row r="593" customFormat="false" ht="14.9" hidden="false" customHeight="false" outlineLevel="0" collapsed="false">
      <c r="B593" s="368"/>
      <c r="C593" s="368"/>
      <c r="D593" s="341" t="str">
        <f aca="false">+VLOOKUP($A591,[1]BASEdades!$A$3:$AA$282,5,FALSE())</f>
        <v>pedres mitjanes: 30cm diàmetre.</v>
      </c>
      <c r="E593" s="341"/>
      <c r="F593" s="341"/>
      <c r="G593" s="341"/>
      <c r="H593" s="344"/>
      <c r="I593" s="370"/>
    </row>
    <row r="594" customFormat="false" ht="14.9" hidden="false" customHeight="false" outlineLevel="0" collapsed="false">
      <c r="B594" s="368"/>
      <c r="C594" s="368"/>
      <c r="D594" s="341" t="str">
        <f aca="false">+VLOOKUP($A591,[1]BASEdades!$A$3:$AA$282,6,FALSE())</f>
        <v>.</v>
      </c>
      <c r="E594" s="341"/>
      <c r="F594" s="341"/>
      <c r="G594" s="341"/>
      <c r="H594" s="344"/>
      <c r="I594" s="370"/>
    </row>
    <row r="595" customFormat="false" ht="13.8" hidden="false" customHeight="false" outlineLevel="0" collapsed="false">
      <c r="B595" s="368"/>
      <c r="C595" s="368"/>
      <c r="D595" s="416" t="s">
        <v>1074</v>
      </c>
      <c r="E595" s="378" t="n">
        <f aca="false">+VLOOKUP($D595,PREUS!$B$1:$F$589,3,FALSE())</f>
        <v>20</v>
      </c>
      <c r="F595" s="378" t="str">
        <f aca="false">+VLOOKUP($D595,PREUS!$B$1:$F$589,4,FALSE())</f>
        <v>ut</v>
      </c>
      <c r="G595" s="418" t="n">
        <v>1</v>
      </c>
      <c r="H595" s="419" t="n">
        <f aca="false">E595*G595</f>
        <v>20</v>
      </c>
    </row>
    <row r="596" customFormat="false" ht="13.8" hidden="false" customHeight="false" outlineLevel="0" collapsed="false">
      <c r="B596" s="368"/>
      <c r="C596" s="368"/>
      <c r="D596" s="416" t="s">
        <v>1047</v>
      </c>
      <c r="E596" s="378" t="n">
        <f aca="false">+VLOOKUP($D596,PREUS!$B$1:$F$589,3,FALSE())</f>
        <v>30.76</v>
      </c>
      <c r="F596" s="378" t="str">
        <f aca="false">+VLOOKUP($D596,PREUS!$B$1:$F$589,4,FALSE())</f>
        <v>h</v>
      </c>
      <c r="G596" s="418" t="n">
        <v>0.24</v>
      </c>
      <c r="H596" s="419" t="n">
        <f aca="false">E596*G596</f>
        <v>7.3824</v>
      </c>
    </row>
    <row r="597" customFormat="false" ht="13.8" hidden="false" customHeight="false" outlineLevel="0" collapsed="false">
      <c r="B597" s="368"/>
      <c r="C597" s="368"/>
      <c r="D597" s="416" t="s">
        <v>986</v>
      </c>
      <c r="E597" s="378" t="n">
        <f aca="false">+VLOOKUP($D597,PREUS!$B$1:$F$589,3,FALSE())</f>
        <v>25.8</v>
      </c>
      <c r="F597" s="378" t="str">
        <f aca="false">+VLOOKUP($D597,PREUS!$B$1:$F$589,4,FALSE())</f>
        <v>h</v>
      </c>
      <c r="G597" s="418" t="n">
        <v>0.24</v>
      </c>
      <c r="H597" s="419" t="n">
        <f aca="false">E597*G597</f>
        <v>6.192</v>
      </c>
    </row>
    <row r="598" customFormat="false" ht="13.8" hidden="false" customHeight="false" outlineLevel="0" collapsed="false">
      <c r="B598" s="368"/>
      <c r="C598" s="368"/>
      <c r="D598" s="286" t="s">
        <v>987</v>
      </c>
      <c r="E598" s="379" t="n">
        <f aca="false">SUM(H595:H597)</f>
        <v>33.5744</v>
      </c>
      <c r="F598" s="403" t="s">
        <v>988</v>
      </c>
      <c r="G598" s="422" t="n">
        <v>0.02</v>
      </c>
      <c r="H598" s="419" t="n">
        <f aca="false">E598*G598</f>
        <v>0.671488</v>
      </c>
    </row>
    <row r="599" customFormat="false" ht="13.8" hidden="false" customHeight="false" outlineLevel="0" collapsed="false">
      <c r="B599" s="368"/>
      <c r="C599" s="368"/>
      <c r="D599" s="376"/>
      <c r="E599" s="348"/>
      <c r="F599" s="348"/>
      <c r="G599" s="348"/>
      <c r="H599" s="344"/>
      <c r="I599" s="370"/>
    </row>
    <row r="600" customFormat="false" ht="13.8" hidden="false" customHeight="false" outlineLevel="0" collapsed="false">
      <c r="A600" s="329" t="s">
        <v>228</v>
      </c>
      <c r="B600" s="337"/>
      <c r="C600" s="337" t="str">
        <f aca="false">+VLOOKUP($A600,[1]BASEdades!$A$3:$AA$282,3,FALSE())</f>
        <v>m2</v>
      </c>
      <c r="D600" s="367" t="str">
        <f aca="false">+VLOOKUP($A600,[1]BASEdades!$A$3:$AA$297,2,FALSE())</f>
        <v>Pedres planes per a camins</v>
      </c>
      <c r="E600" s="338"/>
      <c r="F600" s="338"/>
      <c r="G600" s="338"/>
      <c r="H600" s="340" t="n">
        <f aca="false">+VLOOKUP($A600,[1]BASEdades!$A$3:$AA$282,7,FALSE())</f>
        <v>97.5</v>
      </c>
      <c r="I600" s="340" t="e">
        <f aca="false">#REF!*H600</f>
        <v>#REF!</v>
      </c>
    </row>
    <row r="601" customFormat="false" ht="41.75" hidden="false" customHeight="false" outlineLevel="0" collapsed="false">
      <c r="B601" s="368"/>
      <c r="C601" s="368"/>
      <c r="D601" s="353" t="str">
        <f aca="false">+VLOOKUP($A600,[1]BASEdades!$A$3:$AA$282,4,FALSE())</f>
        <v>Execució de paviment amb peces irregulars d'entre 20 a 40 cm de diàmetres i d'entre 3 i 4 cm d'espessor per a formació de camins. Instal.lat damunt del terreny.    </v>
      </c>
      <c r="E601" s="341"/>
      <c r="F601" s="341"/>
      <c r="G601" s="341"/>
      <c r="H601" s="344"/>
      <c r="I601" s="370"/>
    </row>
    <row r="602" customFormat="false" ht="14.9" hidden="false" customHeight="false" outlineLevel="0" collapsed="false">
      <c r="B602" s="368"/>
      <c r="C602" s="368"/>
      <c r="D602" s="341" t="str">
        <f aca="false">+VLOOKUP($A600,[1]BASEdades!$A$3:$AA$282,5,FALSE())</f>
        <v>.mides: m2</v>
      </c>
      <c r="E602" s="341"/>
      <c r="F602" s="341"/>
      <c r="G602" s="341"/>
      <c r="H602" s="344"/>
      <c r="I602" s="370"/>
    </row>
    <row r="603" customFormat="false" ht="14.9" hidden="false" customHeight="false" outlineLevel="0" collapsed="false">
      <c r="B603" s="368"/>
      <c r="C603" s="368"/>
      <c r="D603" s="341" t="str">
        <f aca="false">+VLOOKUP($A600,[1]BASEdades!$A$3:$AA$282,6,FALSE())</f>
        <v>.</v>
      </c>
      <c r="E603" s="341"/>
      <c r="F603" s="341"/>
      <c r="G603" s="341"/>
      <c r="H603" s="344"/>
      <c r="I603" s="370"/>
    </row>
    <row r="604" customFormat="false" ht="13.8" hidden="false" customHeight="false" outlineLevel="0" collapsed="false">
      <c r="B604" s="368"/>
      <c r="C604" s="368"/>
      <c r="D604" s="416" t="s">
        <v>1075</v>
      </c>
      <c r="E604" s="378" t="n">
        <f aca="false">+VLOOKUP($D604,PREUS!$B$1:$F$589,3,FALSE())</f>
        <v>74.75</v>
      </c>
      <c r="F604" s="378" t="str">
        <f aca="false">+VLOOKUP($D604,PREUS!$B$1:$F$589,4,FALSE())</f>
        <v>m2</v>
      </c>
      <c r="G604" s="394" t="n">
        <v>1</v>
      </c>
      <c r="H604" s="419" t="n">
        <f aca="false">E604*G604</f>
        <v>74.75</v>
      </c>
    </row>
    <row r="605" customFormat="false" ht="13.8" hidden="false" customHeight="false" outlineLevel="0" collapsed="false">
      <c r="B605" s="368"/>
      <c r="C605" s="368"/>
      <c r="D605" s="416" t="s">
        <v>1047</v>
      </c>
      <c r="E605" s="378" t="n">
        <f aca="false">+VLOOKUP($D605,PREUS!$B$1:$F$589,3,FALSE())</f>
        <v>30.76</v>
      </c>
      <c r="F605" s="378" t="str">
        <f aca="false">+VLOOKUP($D605,PREUS!$B$1:$F$589,4,FALSE())</f>
        <v>h</v>
      </c>
      <c r="G605" s="394" t="n">
        <v>0.35</v>
      </c>
      <c r="H605" s="419" t="n">
        <f aca="false">E605*G605</f>
        <v>10.766</v>
      </c>
    </row>
    <row r="606" customFormat="false" ht="13.8" hidden="false" customHeight="false" outlineLevel="0" collapsed="false">
      <c r="B606" s="368"/>
      <c r="C606" s="368"/>
      <c r="D606" s="416" t="s">
        <v>986</v>
      </c>
      <c r="E606" s="378" t="n">
        <f aca="false">+VLOOKUP($D606,PREUS!$B$1:$F$589,3,FALSE())</f>
        <v>25.8</v>
      </c>
      <c r="F606" s="378" t="str">
        <f aca="false">+VLOOKUP($D606,PREUS!$B$1:$F$589,4,FALSE())</f>
        <v>h</v>
      </c>
      <c r="G606" s="394" t="n">
        <v>0.35</v>
      </c>
      <c r="H606" s="419" t="n">
        <f aca="false">E606*G606</f>
        <v>9.03</v>
      </c>
    </row>
    <row r="607" customFormat="false" ht="13.8" hidden="false" customHeight="false" outlineLevel="0" collapsed="false">
      <c r="B607" s="368"/>
      <c r="C607" s="368"/>
      <c r="D607" s="286" t="s">
        <v>987</v>
      </c>
      <c r="E607" s="379" t="n">
        <f aca="false">SUM(H604:H606)</f>
        <v>94.546</v>
      </c>
      <c r="F607" s="403" t="s">
        <v>988</v>
      </c>
      <c r="G607" s="422" t="n">
        <v>0.02</v>
      </c>
      <c r="H607" s="419" t="n">
        <f aca="false">E607*G607</f>
        <v>1.89092</v>
      </c>
    </row>
    <row r="608" customFormat="false" ht="13.8" hidden="false" customHeight="false" outlineLevel="0" collapsed="false">
      <c r="B608" s="368"/>
      <c r="C608" s="368"/>
      <c r="D608" s="376"/>
      <c r="E608" s="348"/>
      <c r="F608" s="348"/>
      <c r="G608" s="348"/>
      <c r="H608" s="344"/>
      <c r="I608" s="370"/>
    </row>
    <row r="609" customFormat="false" ht="13.8" hidden="false" customHeight="false" outlineLevel="0" collapsed="false">
      <c r="A609" s="329" t="s">
        <v>455</v>
      </c>
      <c r="B609" s="337"/>
      <c r="C609" s="337" t="str">
        <f aca="false">+VLOOKUP($A609,[1]BASEdades!$A$3:$AA$282,3,FALSE())</f>
        <v>ut</v>
      </c>
      <c r="D609" s="367" t="str">
        <f aca="false">+VLOOKUP($A609,[1]BASEdades!$A$3:$AA$297,2,FALSE())</f>
        <v>Rotllana de l'esquirol</v>
      </c>
      <c r="E609" s="338"/>
      <c r="F609" s="338"/>
      <c r="G609" s="338"/>
      <c r="H609" s="340" t="n">
        <f aca="false">+VLOOKUP($A609,[1]BASEdades!$A$3:$AA$282,7,FALSE())</f>
        <v>554</v>
      </c>
      <c r="I609" s="340" t="e">
        <f aca="false">#REF!*H609</f>
        <v>#REF!</v>
      </c>
    </row>
    <row r="610" customFormat="false" ht="82.05" hidden="false" customHeight="false" outlineLevel="0" collapsed="false">
      <c r="B610" s="368"/>
      <c r="C610" s="368"/>
      <c r="D610" s="353" t="str">
        <f aca="false">+VLOOKUP($A609,[1]BASEdades!$A$3:$AA$282,4,FALSE())</f>
        <v>Subministrament i instal·lació de troncs d'acàcia polits i amb oli d'entre 14 i 24cm de diàmetre, col·locats verticalment sobre el terreny, en forma de rotllana. Inclou p/p de replanteig, excavació manual del terreny, selecció i tall de troncs, replè i compactació del terreny contigu i eliminació i neteja del material sobrant.  Inclou mecanització.</v>
      </c>
      <c r="E610" s="341"/>
      <c r="F610" s="341"/>
      <c r="G610" s="341"/>
      <c r="H610" s="344"/>
      <c r="I610" s="370"/>
    </row>
    <row r="611" customFormat="false" ht="28.35" hidden="false" customHeight="false" outlineLevel="0" collapsed="false">
      <c r="B611" s="368"/>
      <c r="C611" s="368"/>
      <c r="D611" s="341" t="str">
        <f aca="false">+VLOOKUP($A609,[1]BASEdades!$A$3:$AA$282,5,FALSE())</f>
        <v>.mides: 240cm de diàmetre. 23 troncs mitjans i un tronc gruixut al mig</v>
      </c>
      <c r="E611" s="341"/>
      <c r="F611" s="341"/>
      <c r="G611" s="341"/>
      <c r="H611" s="344"/>
      <c r="I611" s="370"/>
    </row>
    <row r="612" customFormat="false" ht="14.9" hidden="false" customHeight="false" outlineLevel="0" collapsed="false">
      <c r="B612" s="368"/>
      <c r="C612" s="368"/>
      <c r="D612" s="341" t="str">
        <f aca="false">+VLOOKUP($A609,[1]BASEdades!$A$3:$AA$282,6,FALSE())</f>
        <v>.</v>
      </c>
      <c r="E612" s="341"/>
      <c r="F612" s="341"/>
      <c r="G612" s="341"/>
      <c r="H612" s="344"/>
      <c r="I612" s="370"/>
    </row>
    <row r="613" customFormat="false" ht="13.8" hidden="false" customHeight="false" outlineLevel="0" collapsed="false">
      <c r="B613" s="368"/>
      <c r="C613" s="368"/>
      <c r="D613" s="416" t="s">
        <v>1061</v>
      </c>
      <c r="E613" s="378" t="n">
        <f aca="false">+VLOOKUP($D613,PREUS!$B$1:$F$589,3,FALSE())</f>
        <v>36.4</v>
      </c>
      <c r="F613" s="378" t="str">
        <f aca="false">+VLOOKUP($D613,PREUS!$B$1:$F$589,4,FALSE())</f>
        <v>m</v>
      </c>
      <c r="G613" s="394" t="n">
        <v>10.26</v>
      </c>
      <c r="H613" s="419" t="n">
        <f aca="false">E613*G613</f>
        <v>373.464</v>
      </c>
    </row>
    <row r="614" customFormat="false" ht="13.8" hidden="false" customHeight="false" outlineLevel="0" collapsed="false">
      <c r="B614" s="368"/>
      <c r="C614" s="368"/>
      <c r="D614" s="286" t="s">
        <v>1046</v>
      </c>
      <c r="E614" s="378" t="n">
        <v>20</v>
      </c>
      <c r="F614" s="378" t="str">
        <f aca="false">+VLOOKUP($D614,PREUS!$B$1:$F$589,4,FALSE())</f>
        <v>kg</v>
      </c>
      <c r="G614" s="394" t="n">
        <v>0</v>
      </c>
      <c r="H614" s="419" t="n">
        <f aca="false">E614*G614</f>
        <v>0</v>
      </c>
    </row>
    <row r="615" customFormat="false" ht="13.8" hidden="false" customHeight="false" outlineLevel="0" collapsed="false">
      <c r="B615" s="368"/>
      <c r="C615" s="368"/>
      <c r="D615" s="416" t="s">
        <v>1047</v>
      </c>
      <c r="E615" s="378" t="n">
        <f aca="false">+VLOOKUP($D615,PREUS!$B$1:$F$589,3,FALSE())</f>
        <v>30.76</v>
      </c>
      <c r="F615" s="378" t="str">
        <f aca="false">+VLOOKUP($D615,PREUS!$B$1:$F$589,4,FALSE())</f>
        <v>h</v>
      </c>
      <c r="G615" s="394" t="n">
        <v>3</v>
      </c>
      <c r="H615" s="419" t="n">
        <f aca="false">E615*G615</f>
        <v>92.28</v>
      </c>
    </row>
    <row r="616" customFormat="false" ht="13.8" hidden="false" customHeight="false" outlineLevel="0" collapsed="false">
      <c r="B616" s="368"/>
      <c r="C616" s="368"/>
      <c r="D616" s="416" t="s">
        <v>986</v>
      </c>
      <c r="E616" s="378" t="n">
        <f aca="false">+VLOOKUP($D616,PREUS!$B$1:$F$589,3,FALSE())</f>
        <v>25.8</v>
      </c>
      <c r="F616" s="378" t="str">
        <f aca="false">+VLOOKUP($D616,PREUS!$B$1:$F$589,4,FALSE())</f>
        <v>h</v>
      </c>
      <c r="G616" s="394" t="n">
        <v>3</v>
      </c>
      <c r="H616" s="419" t="n">
        <f aca="false">E616*G616</f>
        <v>77.4</v>
      </c>
    </row>
    <row r="617" customFormat="false" ht="13.8" hidden="false" customHeight="false" outlineLevel="0" collapsed="false">
      <c r="B617" s="368"/>
      <c r="C617" s="368"/>
      <c r="D617" s="286" t="s">
        <v>987</v>
      </c>
      <c r="E617" s="379" t="n">
        <f aca="false">SUM(H613:H616)</f>
        <v>543.144</v>
      </c>
      <c r="F617" s="403" t="s">
        <v>988</v>
      </c>
      <c r="G617" s="422" t="n">
        <v>0.02</v>
      </c>
      <c r="H617" s="419" t="n">
        <f aca="false">E617*G617</f>
        <v>10.86288</v>
      </c>
    </row>
    <row r="618" customFormat="false" ht="13.8" hidden="false" customHeight="false" outlineLevel="0" collapsed="false">
      <c r="B618" s="368"/>
      <c r="C618" s="368"/>
      <c r="D618" s="376"/>
      <c r="E618" s="348"/>
      <c r="F618" s="348"/>
      <c r="G618" s="348"/>
      <c r="H618" s="344"/>
      <c r="I618" s="370"/>
    </row>
    <row r="619" customFormat="false" ht="13.8" hidden="false" customHeight="false" outlineLevel="0" collapsed="false">
      <c r="A619" s="329" t="s">
        <v>366</v>
      </c>
      <c r="B619" s="337"/>
      <c r="C619" s="337" t="str">
        <f aca="false">+VLOOKUP($A619,[1]BASEdades!$A$3:$AA$282,3,FALSE())</f>
        <v>ut</v>
      </c>
      <c r="D619" s="367" t="str">
        <f aca="false">+VLOOKUP($A619,[1]BASEdades!$A$3:$AA$297,2,FALSE())</f>
        <v>Bosc de troncs</v>
      </c>
      <c r="E619" s="338"/>
      <c r="F619" s="338"/>
      <c r="G619" s="338"/>
      <c r="H619" s="340" t="n">
        <f aca="false">+VLOOKUP($A619,[1]BASEdades!$A$3:$AA$282,7,FALSE())</f>
        <v>540</v>
      </c>
      <c r="I619" s="340" t="e">
        <f aca="false">#REF!*H619</f>
        <v>#REF!</v>
      </c>
    </row>
    <row r="620" customFormat="false" ht="41.75" hidden="false" customHeight="false" outlineLevel="0" collapsed="false">
      <c r="B620" s="368"/>
      <c r="C620" s="368"/>
      <c r="D620" s="353" t="str">
        <f aca="false">+VLOOKUP($A619,[1]BASEdades!$A$3:$AA$282,4,FALSE())</f>
        <v>Subministrament i instal·lació d'estructura formada per 25 troncs d'entre 16 i 24 cm de diàmetre, tallats a diverses alçades que, ajuntats, formen una elevació d'entre uns 20 i 50 cm.</v>
      </c>
      <c r="E620" s="341"/>
      <c r="F620" s="341"/>
      <c r="G620" s="341"/>
      <c r="H620" s="344"/>
      <c r="I620" s="370"/>
    </row>
    <row r="621" customFormat="false" ht="14.9" hidden="false" customHeight="false" outlineLevel="0" collapsed="false">
      <c r="B621" s="368"/>
      <c r="C621" s="368"/>
      <c r="D621" s="341" t="str">
        <f aca="false">+VLOOKUP($A619,[1]BASEdades!$A$3:$AA$282,5,FALSE())</f>
        <v>.mides: 100x80x50cm</v>
      </c>
      <c r="E621" s="341"/>
      <c r="F621" s="341"/>
      <c r="G621" s="341"/>
      <c r="H621" s="344"/>
      <c r="I621" s="370"/>
    </row>
    <row r="622" customFormat="false" ht="14.9" hidden="false" customHeight="false" outlineLevel="0" collapsed="false">
      <c r="B622" s="368"/>
      <c r="C622" s="368"/>
      <c r="D622" s="341" t="str">
        <f aca="false">+VLOOKUP($A619,[1]BASEdades!$A$3:$AA$282,6,FALSE())</f>
        <v>.</v>
      </c>
      <c r="E622" s="341"/>
      <c r="F622" s="341"/>
      <c r="G622" s="341"/>
      <c r="H622" s="344"/>
      <c r="I622" s="370"/>
    </row>
    <row r="623" customFormat="false" ht="13.8" hidden="false" customHeight="false" outlineLevel="0" collapsed="false">
      <c r="B623" s="368"/>
      <c r="C623" s="368"/>
      <c r="D623" s="416" t="s">
        <v>1061</v>
      </c>
      <c r="E623" s="378" t="n">
        <f aca="false">+VLOOKUP($D623,PREUS!$B$1:$F$589,3,FALSE())</f>
        <v>36.4</v>
      </c>
      <c r="F623" s="378" t="str">
        <f aca="false">+VLOOKUP($D623,PREUS!$B$1:$F$589,4,FALSE())</f>
        <v>m</v>
      </c>
      <c r="G623" s="418" t="n">
        <v>9.8828</v>
      </c>
      <c r="H623" s="419" t="n">
        <f aca="false">E623*G623</f>
        <v>359.73392</v>
      </c>
    </row>
    <row r="624" customFormat="false" ht="13.8" hidden="false" customHeight="false" outlineLevel="0" collapsed="false">
      <c r="B624" s="368"/>
      <c r="C624" s="368"/>
      <c r="D624" s="286" t="s">
        <v>1046</v>
      </c>
      <c r="E624" s="378" t="n">
        <v>20</v>
      </c>
      <c r="F624" s="378" t="str">
        <f aca="false">+VLOOKUP($D624,PREUS!$B$1:$F$589,4,FALSE())</f>
        <v>kg</v>
      </c>
      <c r="G624" s="394" t="n">
        <v>0</v>
      </c>
      <c r="H624" s="419" t="n">
        <f aca="false">E624*G624</f>
        <v>0</v>
      </c>
    </row>
    <row r="625" customFormat="false" ht="13.8" hidden="false" customHeight="false" outlineLevel="0" collapsed="false">
      <c r="B625" s="368"/>
      <c r="C625" s="368"/>
      <c r="D625" s="416" t="s">
        <v>1047</v>
      </c>
      <c r="E625" s="378" t="n">
        <f aca="false">+VLOOKUP($D625,PREUS!$B$1:$F$589,3,FALSE())</f>
        <v>30.76</v>
      </c>
      <c r="F625" s="378" t="str">
        <f aca="false">+VLOOKUP($D625,PREUS!$B$1:$F$589,4,FALSE())</f>
        <v>h</v>
      </c>
      <c r="G625" s="394" t="n">
        <v>3</v>
      </c>
      <c r="H625" s="419" t="n">
        <f aca="false">E625*G625</f>
        <v>92.28</v>
      </c>
    </row>
    <row r="626" customFormat="false" ht="13.8" hidden="false" customHeight="false" outlineLevel="0" collapsed="false">
      <c r="B626" s="368"/>
      <c r="C626" s="368"/>
      <c r="D626" s="416" t="s">
        <v>986</v>
      </c>
      <c r="E626" s="378" t="n">
        <f aca="false">+VLOOKUP($D626,PREUS!$B$1:$F$589,3,FALSE())</f>
        <v>25.8</v>
      </c>
      <c r="F626" s="378" t="str">
        <f aca="false">+VLOOKUP($D626,PREUS!$B$1:$F$589,4,FALSE())</f>
        <v>h</v>
      </c>
      <c r="G626" s="394" t="n">
        <v>3</v>
      </c>
      <c r="H626" s="419" t="n">
        <f aca="false">E626*G626</f>
        <v>77.4</v>
      </c>
    </row>
    <row r="627" customFormat="false" ht="13.8" hidden="false" customHeight="false" outlineLevel="0" collapsed="false">
      <c r="B627" s="368"/>
      <c r="C627" s="368"/>
      <c r="D627" s="286" t="s">
        <v>987</v>
      </c>
      <c r="E627" s="379" t="n">
        <f aca="false">SUM(H623:H626)</f>
        <v>529.41392</v>
      </c>
      <c r="F627" s="403" t="s">
        <v>988</v>
      </c>
      <c r="G627" s="422" t="n">
        <v>0.02</v>
      </c>
      <c r="H627" s="419" t="n">
        <f aca="false">E627*G627</f>
        <v>10.5882784</v>
      </c>
    </row>
    <row r="628" customFormat="false" ht="13.8" hidden="false" customHeight="false" outlineLevel="0" collapsed="false">
      <c r="B628" s="368"/>
      <c r="C628" s="368"/>
      <c r="D628" s="376"/>
      <c r="E628" s="348"/>
      <c r="F628" s="348"/>
      <c r="G628" s="348"/>
      <c r="H628" s="344"/>
      <c r="I628" s="370"/>
    </row>
    <row r="629" customFormat="false" ht="13.8" hidden="false" customHeight="false" outlineLevel="0" collapsed="false">
      <c r="A629" s="329" t="s">
        <v>517</v>
      </c>
      <c r="B629" s="337"/>
      <c r="C629" s="337" t="str">
        <f aca="false">+VLOOKUP($A629,[1]BASEdades!$A$3:$AA$282,3,FALSE())</f>
        <v>ut</v>
      </c>
      <c r="D629" s="367" t="str">
        <f aca="false">+VLOOKUP($A629,[1]BASEdades!$A$3:$AA$297,2,FALSE())</f>
        <v>Túnel vegetal amb barres metàl.liques</v>
      </c>
      <c r="E629" s="338"/>
      <c r="F629" s="338"/>
      <c r="G629" s="338"/>
      <c r="H629" s="340" t="n">
        <f aca="false">+VLOOKUP($A629,[1]BASEdades!$A$3:$AA$282,7,FALSE())</f>
        <v>1140</v>
      </c>
      <c r="I629" s="340" t="e">
        <f aca="false">#REF!*H629</f>
        <v>#REF!</v>
      </c>
    </row>
    <row r="630" customFormat="false" ht="31.5" hidden="false" customHeight="true" outlineLevel="0" collapsed="false">
      <c r="B630" s="368"/>
      <c r="C630" s="368"/>
      <c r="D630" s="353" t="str">
        <f aca="false">+VLOOKUP($A629,[1]BASEdades!$A$3:$AA$282,4,FALSE())</f>
        <v>Subministrament i instal·lació de túnel fet amb barres metàl.liques plegades, ancorades a travessa de fusta</v>
      </c>
      <c r="E630" s="341"/>
      <c r="F630" s="341"/>
      <c r="G630" s="341"/>
      <c r="H630" s="344"/>
      <c r="I630" s="370"/>
    </row>
    <row r="631" customFormat="false" ht="14.9" hidden="false" customHeight="false" outlineLevel="0" collapsed="false">
      <c r="B631" s="368"/>
      <c r="C631" s="368"/>
      <c r="D631" s="341" t="str">
        <f aca="false">+VLOOKUP($A629,[1]BASEdades!$A$3:$AA$282,5,FALSE())</f>
        <v>.mides: 1x180x115cm</v>
      </c>
      <c r="E631" s="341"/>
      <c r="F631" s="341"/>
      <c r="G631" s="341"/>
      <c r="H631" s="344"/>
      <c r="I631" s="370"/>
    </row>
    <row r="632" customFormat="false" ht="14.9" hidden="false" customHeight="false" outlineLevel="0" collapsed="false">
      <c r="B632" s="368"/>
      <c r="C632" s="368"/>
      <c r="D632" s="341" t="str">
        <f aca="false">+VLOOKUP($A629,[1]BASEdades!$A$3:$AA$282,6,FALSE())</f>
        <v>.</v>
      </c>
      <c r="E632" s="341"/>
      <c r="F632" s="341"/>
      <c r="G632" s="341"/>
      <c r="H632" s="344"/>
      <c r="I632" s="370"/>
    </row>
    <row r="633" customFormat="false" ht="13.8" hidden="false" customHeight="false" outlineLevel="0" collapsed="false">
      <c r="B633" s="368"/>
      <c r="C633" s="368"/>
      <c r="D633" s="416" t="s">
        <v>997</v>
      </c>
      <c r="E633" s="378" t="n">
        <f aca="false">+VLOOKUP($D633,PREUS!$B$1:$F$589,3,FALSE())</f>
        <v>1.6</v>
      </c>
      <c r="F633" s="378" t="str">
        <f aca="false">+VLOOKUP($D633,PREUS!$B$1:$F$589,4,FALSE())</f>
        <v>kg</v>
      </c>
      <c r="G633" s="418" t="n">
        <v>19.455</v>
      </c>
      <c r="H633" s="419" t="n">
        <f aca="false">E633*G633</f>
        <v>31.128</v>
      </c>
    </row>
    <row r="634" customFormat="false" ht="13.8" hidden="false" customHeight="false" outlineLevel="0" collapsed="false">
      <c r="B634" s="368"/>
      <c r="C634" s="368"/>
      <c r="D634" s="416" t="s">
        <v>240</v>
      </c>
      <c r="E634" s="378" t="n">
        <f aca="false">+VLOOKUP($D634,PREUS!$B$1:$F$589,3,FALSE())</f>
        <v>12.88</v>
      </c>
      <c r="F634" s="378" t="str">
        <f aca="false">+VLOOKUP($D634,PREUS!$B$1:$F$589,4,FALSE())</f>
        <v>m</v>
      </c>
      <c r="G634" s="394" t="n">
        <v>28</v>
      </c>
      <c r="H634" s="419" t="n">
        <f aca="false">E634*G634</f>
        <v>360.64</v>
      </c>
    </row>
    <row r="635" customFormat="false" ht="13.8" hidden="false" customHeight="false" outlineLevel="0" collapsed="false">
      <c r="B635" s="368"/>
      <c r="C635" s="368"/>
      <c r="D635" s="416" t="s">
        <v>1001</v>
      </c>
      <c r="E635" s="378" t="n">
        <f aca="false">+VLOOKUP($D635,PREUS!$B$1:$F$589,3,FALSE())</f>
        <v>3.42</v>
      </c>
      <c r="F635" s="378" t="str">
        <f aca="false">+VLOOKUP($D635,PREUS!$B$1:$F$589,4,FALSE())</f>
        <v>h</v>
      </c>
      <c r="G635" s="394" t="n">
        <v>12</v>
      </c>
      <c r="H635" s="419" t="n">
        <f aca="false">E635*G635</f>
        <v>41.04</v>
      </c>
    </row>
    <row r="636" customFormat="false" ht="13.8" hidden="false" customHeight="false" outlineLevel="0" collapsed="false">
      <c r="B636" s="368"/>
      <c r="C636" s="368"/>
      <c r="D636" s="286" t="s">
        <v>1035</v>
      </c>
      <c r="E636" s="378" t="n">
        <f aca="false">+VLOOKUP($D636,PREUS!$B$1:$F$589,3,FALSE())</f>
        <v>31.27</v>
      </c>
      <c r="F636" s="378" t="str">
        <f aca="false">+VLOOKUP($D636,PREUS!$B$1:$F$589,4,FALSE())</f>
        <v>h</v>
      </c>
      <c r="G636" s="394" t="n">
        <v>12</v>
      </c>
      <c r="H636" s="419" t="n">
        <f aca="false">E636*G636</f>
        <v>375.24</v>
      </c>
    </row>
    <row r="637" customFormat="false" ht="13.8" hidden="false" customHeight="false" outlineLevel="0" collapsed="false">
      <c r="B637" s="368"/>
      <c r="C637" s="368"/>
      <c r="D637" s="416" t="s">
        <v>986</v>
      </c>
      <c r="E637" s="378" t="n">
        <f aca="false">+VLOOKUP($D637,PREUS!$B$1:$F$589,3,FALSE())</f>
        <v>25.8</v>
      </c>
      <c r="F637" s="378" t="str">
        <f aca="false">+VLOOKUP($D637,PREUS!$B$1:$F$589,4,FALSE())</f>
        <v>h</v>
      </c>
      <c r="G637" s="394" t="n">
        <v>12</v>
      </c>
      <c r="H637" s="419" t="n">
        <f aca="false">E637*G637</f>
        <v>309.6</v>
      </c>
    </row>
    <row r="638" customFormat="false" ht="13.8" hidden="false" customHeight="false" outlineLevel="0" collapsed="false">
      <c r="B638" s="368"/>
      <c r="C638" s="368"/>
      <c r="D638" s="286" t="s">
        <v>987</v>
      </c>
      <c r="E638" s="379" t="n">
        <f aca="false">SUM(H633:H637)</f>
        <v>1117.648</v>
      </c>
      <c r="F638" s="403" t="s">
        <v>988</v>
      </c>
      <c r="G638" s="422" t="n">
        <v>0.02</v>
      </c>
      <c r="H638" s="419" t="n">
        <f aca="false">E638*G638</f>
        <v>22.35296</v>
      </c>
    </row>
    <row r="639" s="277" customFormat="true" ht="13.8" hidden="false" customHeight="false" outlineLevel="0" collapsed="false">
      <c r="B639" s="361"/>
      <c r="C639" s="361"/>
      <c r="D639" s="351"/>
      <c r="E639" s="352"/>
      <c r="F639" s="352"/>
      <c r="G639" s="352"/>
      <c r="H639" s="359"/>
      <c r="I639" s="366"/>
      <c r="M639" s="0"/>
    </row>
    <row r="640" customFormat="false" ht="13.8" hidden="false" customHeight="false" outlineLevel="0" collapsed="false">
      <c r="A640" s="377" t="s">
        <v>197</v>
      </c>
      <c r="B640" s="337"/>
      <c r="C640" s="337" t="str">
        <f aca="false">+VLOOKUP($A640,[1]BASEdades!$A$3:$AA$282,3,FALSE())</f>
        <v>m3</v>
      </c>
      <c r="D640" s="338" t="str">
        <f aca="false">+VLOOKUP($A640,[1]BASEdades!$A$3:$AA$282,2,FALSE())</f>
        <v>Terra vegetal  (per jardineres i parterre)</v>
      </c>
      <c r="E640" s="338"/>
      <c r="F640" s="338"/>
      <c r="G640" s="338"/>
      <c r="H640" s="340" t="n">
        <f aca="false">+VLOOKUP($A640,[1]BASEdades!$A$3:$AA$282,7,FALSE())</f>
        <v>105.333333333333</v>
      </c>
      <c r="I640" s="340" t="e">
        <f aca="false">#REF!*H640</f>
        <v>#REF!</v>
      </c>
    </row>
    <row r="641" customFormat="false" ht="41.75" hidden="false" customHeight="false" outlineLevel="0" collapsed="false">
      <c r="A641" s="377"/>
      <c r="B641" s="323"/>
      <c r="C641" s="368"/>
      <c r="D641" s="341" t="str">
        <f aca="false">+VLOOKUP($A640,[1]BASEdades!$A$3:$AA$282,4,FALSE())</f>
        <v>Aportació i estesa de terra vegetal de jardineria de categoria alta,  amb una conductivitat elèctrica menor de 0,8 dS/m, segons NTJ 07A, subministrada en big bag i estesa amb mitjans manuals.</v>
      </c>
      <c r="E641" s="342"/>
      <c r="F641" s="342"/>
      <c r="G641" s="342"/>
      <c r="H641" s="344"/>
      <c r="I641" s="345"/>
    </row>
    <row r="642" customFormat="false" ht="13.8" hidden="false" customHeight="false" outlineLevel="0" collapsed="false">
      <c r="A642" s="377"/>
      <c r="B642" s="323"/>
      <c r="C642" s="323"/>
      <c r="D642" s="347" t="s">
        <v>13</v>
      </c>
      <c r="E642" s="347"/>
      <c r="F642" s="347"/>
      <c r="G642" s="347"/>
      <c r="H642" s="349"/>
    </row>
    <row r="643" customFormat="false" ht="13.8" hidden="false" customHeight="false" outlineLevel="0" collapsed="false">
      <c r="A643" s="377"/>
      <c r="D643" s="286"/>
    </row>
    <row r="644" s="277" customFormat="true" ht="13.8" hidden="false" customHeight="false" outlineLevel="0" collapsed="false">
      <c r="A644" s="382" t="s">
        <v>746</v>
      </c>
      <c r="B644" s="337"/>
      <c r="C644" s="337" t="str">
        <f aca="false">+VLOOKUP($A644,[1]BASEdades!$A$3:$AA$282,3,FALSE())</f>
        <v>ut</v>
      </c>
      <c r="D644" s="338" t="str">
        <f aca="false">+VLOOKUP($A644,[1]BASEdades!$A$3:$AA$282,2,FALSE())</f>
        <v>Plantació d'arbres gran</v>
      </c>
      <c r="E644" s="338"/>
      <c r="F644" s="338"/>
      <c r="G644" s="338"/>
      <c r="H644" s="340" t="n">
        <f aca="false">+VLOOKUP($A644,[1]BASEdades!$A$3:$AA$282,7,FALSE())</f>
        <v>440</v>
      </c>
      <c r="I644" s="424" t="e">
        <f aca="false">#REF!*H644</f>
        <v>#REF!</v>
      </c>
      <c r="M644" s="0"/>
    </row>
    <row r="645" s="277" customFormat="true" ht="108.95" hidden="false" customHeight="false" outlineLevel="0" collapsed="false">
      <c r="A645" s="382"/>
      <c r="B645" s="368"/>
      <c r="C645" s="368"/>
      <c r="D645" s="341" t="str">
        <f aca="false">+VLOOKUP($A644,[1]BASEdades!$A$3:$AA$282,4,FALSE())</f>
        <v>Subministrament i plantació d'arbre planifoli amb pa de terra o contenidor, de 18 a 20 cm de perímetre de tronc a 1,5 m d'alçària (a partir del coll de l'arrel), excavació de clot de plantació de 100x100x60 cm amb mitjans mecànics, en un pendent inferior al 25 %, reblert del clot amb terra de l'excavació barrejada amb un 10% de compost sobre llit de grava de 10cm i primer reg.  (el preu no inclou la terra vegetal ni la grava)                                                        </v>
      </c>
      <c r="E645" s="341"/>
      <c r="F645" s="341"/>
      <c r="G645" s="341"/>
      <c r="H645" s="344"/>
      <c r="I645" s="366"/>
      <c r="M645" s="0"/>
    </row>
    <row r="646" s="277" customFormat="true" ht="14.9" hidden="false" customHeight="false" outlineLevel="0" collapsed="false">
      <c r="A646" s="382"/>
      <c r="B646" s="368"/>
      <c r="C646" s="368"/>
      <c r="D646" s="341" t="str">
        <f aca="false">+VLOOKUP($A644,[1]BASEdades!$A$3:$AA$282,5,FALSE())</f>
        <v>Espècies escollides segons la regió i el sól on us trobeu. </v>
      </c>
      <c r="E646" s="341"/>
      <c r="F646" s="341"/>
      <c r="G646" s="341"/>
      <c r="H646" s="344"/>
      <c r="I646" s="366"/>
      <c r="M646" s="0"/>
    </row>
    <row r="647" s="277" customFormat="true" ht="14.9" hidden="false" customHeight="false" outlineLevel="0" collapsed="false">
      <c r="A647" s="382"/>
      <c r="B647" s="368"/>
      <c r="C647" s="368"/>
      <c r="D647" s="341" t="str">
        <f aca="false">+VLOOKUP($A644,[1]BASEdades!$A$3:$AA$282,6,FALSE())</f>
        <v>.</v>
      </c>
      <c r="E647" s="341"/>
      <c r="F647" s="341"/>
      <c r="G647" s="341"/>
      <c r="H647" s="344"/>
      <c r="I647" s="366"/>
      <c r="M647" s="0"/>
    </row>
    <row r="648" s="277" customFormat="true" ht="13.8" hidden="false" customHeight="false" outlineLevel="0" collapsed="false">
      <c r="B648" s="368"/>
      <c r="C648" s="368"/>
      <c r="D648" s="416" t="s">
        <v>1076</v>
      </c>
      <c r="E648" s="378" t="n">
        <f aca="false">+VLOOKUP($D648,[1]PREUS!$A$1:$J$588,3,FALSE())</f>
        <v>380</v>
      </c>
      <c r="F648" s="378" t="str">
        <f aca="false">+VLOOKUP($D648,PREUS!$B$1:$F$589,4,FALSE())</f>
        <v>ut</v>
      </c>
      <c r="G648" s="394" t="n">
        <v>1</v>
      </c>
      <c r="H648" s="419" t="n">
        <f aca="false">E648*G648</f>
        <v>380</v>
      </c>
      <c r="I648" s="279"/>
      <c r="M648" s="0"/>
    </row>
    <row r="649" s="277" customFormat="true" ht="13.8" hidden="false" customHeight="false" outlineLevel="0" collapsed="false">
      <c r="B649" s="368"/>
      <c r="C649" s="368"/>
      <c r="D649" s="286" t="s">
        <v>1077</v>
      </c>
      <c r="E649" s="378" t="n">
        <f aca="false">+VLOOKUP($D649,[1]PREUS!$A$1:$J$588,3,FALSE())</f>
        <v>30.76</v>
      </c>
      <c r="F649" s="378" t="str">
        <f aca="false">+VLOOKUP($D649,PREUS!$B$1:$F$589,4,FALSE())</f>
        <v>h</v>
      </c>
      <c r="G649" s="394" t="n">
        <v>0.8315</v>
      </c>
      <c r="H649" s="419" t="n">
        <f aca="false">E649*G649</f>
        <v>25.57694</v>
      </c>
      <c r="I649" s="279"/>
      <c r="M649" s="0"/>
    </row>
    <row r="650" s="277" customFormat="true" ht="13.8" hidden="false" customHeight="false" outlineLevel="0" collapsed="false">
      <c r="B650" s="368"/>
      <c r="C650" s="368"/>
      <c r="D650" s="416" t="s">
        <v>986</v>
      </c>
      <c r="E650" s="378" t="n">
        <f aca="false">+VLOOKUP($D650,[1]PREUS!$A$1:$J$588,3,FALSE())</f>
        <v>25.8</v>
      </c>
      <c r="F650" s="378" t="str">
        <f aca="false">+VLOOKUP($D650,PREUS!$B$1:$F$589,4,FALSE())</f>
        <v>h</v>
      </c>
      <c r="G650" s="394" t="n">
        <v>1</v>
      </c>
      <c r="H650" s="419" t="n">
        <f aca="false">E650*G650</f>
        <v>25.8</v>
      </c>
      <c r="I650" s="279"/>
      <c r="M650" s="0"/>
    </row>
    <row r="651" s="277" customFormat="true" ht="13.8" hidden="false" customHeight="false" outlineLevel="0" collapsed="false">
      <c r="B651" s="368"/>
      <c r="C651" s="368"/>
      <c r="D651" s="286" t="s">
        <v>987</v>
      </c>
      <c r="E651" s="379" t="n">
        <f aca="false">SUM(H648:H650)</f>
        <v>431.37694</v>
      </c>
      <c r="F651" s="403" t="s">
        <v>988</v>
      </c>
      <c r="G651" s="422" t="n">
        <v>0.02</v>
      </c>
      <c r="H651" s="419" t="n">
        <f aca="false">E651*G651</f>
        <v>8.6275388</v>
      </c>
      <c r="I651" s="279"/>
      <c r="M651" s="0"/>
    </row>
    <row r="652" s="277" customFormat="true" ht="13.8" hidden="false" customHeight="false" outlineLevel="0" collapsed="false">
      <c r="A652" s="382"/>
      <c r="B652" s="286"/>
      <c r="C652" s="286"/>
      <c r="D652" s="378"/>
      <c r="E652" s="348"/>
      <c r="F652" s="348"/>
      <c r="G652" s="348"/>
      <c r="H652" s="304"/>
      <c r="I652" s="279"/>
      <c r="M652" s="0"/>
    </row>
    <row r="653" customFormat="false" ht="13.8" hidden="false" customHeight="false" outlineLevel="0" collapsed="false">
      <c r="A653" s="286" t="s">
        <v>68</v>
      </c>
      <c r="B653" s="337"/>
      <c r="C653" s="337" t="str">
        <f aca="false">+VLOOKUP($A653,[1]BASEdades!$A$3:$AA$282,3,FALSE())</f>
        <v>m3</v>
      </c>
      <c r="D653" s="338" t="str">
        <f aca="false">+VLOOKUP($A653,[1]BASEdades!$A$3:$AA$282,2,FALSE())</f>
        <v>Rebaix de terreny</v>
      </c>
      <c r="E653" s="338"/>
      <c r="F653" s="338"/>
      <c r="G653" s="338"/>
      <c r="H653" s="340" t="n">
        <f aca="false">+VLOOKUP($A653,[1]BASEdades!$A$3:$AA$282,7,FALSE())</f>
        <v>49</v>
      </c>
      <c r="I653" s="340" t="e">
        <f aca="false">#REF!*H653</f>
        <v>#REF!</v>
      </c>
    </row>
    <row r="654" customFormat="false" ht="41.75" hidden="false" customHeight="false" outlineLevel="0" collapsed="false">
      <c r="A654" s="329"/>
      <c r="B654" s="323"/>
      <c r="C654" s="323"/>
      <c r="D654" s="341" t="str">
        <f aca="false">+VLOOKUP($A653,[1]BASEdades!$A$3:$AA$282,4,FALSE())</f>
        <v>Excavació a cel obert, en terra d'argila semidura, amb mitjans mecànics i càrrega a camió. El preu no inclou el transport dels materials excavats.</v>
      </c>
      <c r="E654" s="342"/>
      <c r="F654" s="342"/>
      <c r="G654" s="342"/>
      <c r="H654" s="344"/>
      <c r="I654" s="345"/>
    </row>
    <row r="655" customFormat="false" ht="13.8" hidden="false" customHeight="false" outlineLevel="0" collapsed="false">
      <c r="A655" s="329"/>
      <c r="B655" s="323"/>
      <c r="C655" s="323"/>
      <c r="D655" s="346" t="str">
        <f aca="false">+VLOOKUP($A653,[1]BASEdades!$A$3:$AA$282,5,FALSE())</f>
        <v>.</v>
      </c>
      <c r="E655" s="347"/>
      <c r="F655" s="347"/>
      <c r="G655" s="347"/>
      <c r="H655" s="349"/>
    </row>
    <row r="656" customFormat="false" ht="13.8" hidden="false" customHeight="false" outlineLevel="0" collapsed="false">
      <c r="A656" s="329"/>
      <c r="B656" s="368"/>
      <c r="C656" s="368"/>
      <c r="D656" s="341"/>
      <c r="E656" s="343"/>
      <c r="F656" s="343"/>
      <c r="G656" s="343"/>
      <c r="H656" s="344"/>
      <c r="I656" s="370"/>
    </row>
    <row r="657" customFormat="false" ht="13.8" hidden="false" customHeight="false" outlineLevel="0" collapsed="false">
      <c r="A657" s="377" t="s">
        <v>753</v>
      </c>
      <c r="B657" s="337"/>
      <c r="C657" s="337" t="str">
        <f aca="false">+VLOOKUP($A657,[1]BASEdades!$A$3:$AA$282,3,FALSE())</f>
        <v>ut</v>
      </c>
      <c r="D657" s="338" t="str">
        <f aca="false">+VLOOKUP($A657,[1]BASEdades!$A$3:$AA$282,2,FALSE())</f>
        <v>Plantació d'arbust de port petit</v>
      </c>
      <c r="E657" s="338"/>
      <c r="F657" s="338"/>
      <c r="G657" s="338"/>
      <c r="H657" s="340" t="n">
        <f aca="false">+VLOOKUP($A657,[1]BASEdades!$A$3:$AA$282,7,FALSE())</f>
        <v>18.4</v>
      </c>
      <c r="I657" s="340" t="e">
        <f aca="false">#REF!*H657</f>
        <v>#REF!</v>
      </c>
    </row>
    <row r="658" customFormat="false" ht="82.05" hidden="false" customHeight="false" outlineLevel="0" collapsed="false">
      <c r="A658" s="377"/>
      <c r="B658" s="368"/>
      <c r="C658" s="368"/>
      <c r="D658" s="341" t="str">
        <f aca="false">+VLOOKUP($A657,[1]BASEdades!$A$3:$AA$282,4,FALSE())</f>
        <v>Subministrament i plantació d'arbust o arbre de petit format en contenidor d'1,5 a 3 l, excavació de clot de plantació de 25x25x25 cm amb mitjans manuals, en un pendent inferior al 35 %, reblert del clot amb terra de l'excavació barrejada amb un 10% de compost sobre llit de grava de 10cm i primer reg.   (el preu no inclou la terra vegetal ni la grava)                            </v>
      </c>
      <c r="E658" s="341"/>
      <c r="F658" s="341"/>
      <c r="G658" s="341"/>
      <c r="H658" s="344"/>
      <c r="I658" s="370"/>
    </row>
    <row r="659" customFormat="false" ht="14.9" hidden="false" customHeight="false" outlineLevel="0" collapsed="false">
      <c r="A659" s="377"/>
      <c r="B659" s="368"/>
      <c r="C659" s="368"/>
      <c r="D659" s="341" t="str">
        <f aca="false">+VLOOKUP($A657,[1]BASEdades!$A$3:$AA$282,5,FALSE())</f>
        <v>Espècies escollides segons la regió i el sól on us trobeu.</v>
      </c>
      <c r="E659" s="341"/>
      <c r="F659" s="341"/>
      <c r="G659" s="341"/>
      <c r="H659" s="344"/>
      <c r="I659" s="370"/>
    </row>
    <row r="660" customFormat="false" ht="14.9" hidden="false" customHeight="false" outlineLevel="0" collapsed="false">
      <c r="A660" s="377"/>
      <c r="B660" s="368"/>
      <c r="C660" s="368"/>
      <c r="D660" s="341" t="str">
        <f aca="false">+VLOOKUP($A657,[1]BASEdades!$A$3:$AA$282,6,FALSE())</f>
        <v>.</v>
      </c>
      <c r="E660" s="341"/>
      <c r="F660" s="341"/>
      <c r="G660" s="341"/>
      <c r="H660" s="344"/>
      <c r="I660" s="370"/>
    </row>
    <row r="661" customFormat="false" ht="13.8" hidden="false" customHeight="false" outlineLevel="0" collapsed="false">
      <c r="B661" s="368"/>
      <c r="C661" s="368"/>
      <c r="D661" s="416" t="s">
        <v>1078</v>
      </c>
      <c r="E661" s="378" t="n">
        <f aca="false">+VLOOKUP($D661,[1]PREUS!$A$1:$J$588,3,FALSE())</f>
        <v>7.95</v>
      </c>
      <c r="F661" s="378" t="str">
        <f aca="false">+VLOOKUP($D661,PREUS!$B$1:$F$589,4,FALSE())</f>
        <v>ut</v>
      </c>
      <c r="G661" s="394" t="n">
        <v>1</v>
      </c>
      <c r="H661" s="419" t="n">
        <f aca="false">E661*G661</f>
        <v>7.95</v>
      </c>
    </row>
    <row r="662" customFormat="false" ht="13.8" hidden="false" customHeight="false" outlineLevel="0" collapsed="false">
      <c r="B662" s="368"/>
      <c r="C662" s="368"/>
      <c r="D662" s="286" t="s">
        <v>1077</v>
      </c>
      <c r="E662" s="378" t="n">
        <f aca="false">+VLOOKUP($D662,[1]PREUS!$A$1:$J$588,3,FALSE())</f>
        <v>30.76</v>
      </c>
      <c r="F662" s="378" t="str">
        <f aca="false">+VLOOKUP($D662,PREUS!$B$1:$F$589,4,FALSE())</f>
        <v>h</v>
      </c>
      <c r="G662" s="394" t="n">
        <v>0.15</v>
      </c>
      <c r="H662" s="419" t="n">
        <f aca="false">E662*G662</f>
        <v>4.614</v>
      </c>
    </row>
    <row r="663" customFormat="false" ht="13.8" hidden="false" customHeight="false" outlineLevel="0" collapsed="false">
      <c r="B663" s="368"/>
      <c r="C663" s="368"/>
      <c r="D663" s="416" t="s">
        <v>986</v>
      </c>
      <c r="E663" s="378" t="n">
        <f aca="false">+VLOOKUP($D663,[1]PREUS!$A$1:$J$588,3,FALSE())</f>
        <v>25.8</v>
      </c>
      <c r="F663" s="378" t="str">
        <f aca="false">+VLOOKUP($D663,PREUS!$B$1:$F$589,4,FALSE())</f>
        <v>h</v>
      </c>
      <c r="G663" s="394" t="n">
        <v>0.2124</v>
      </c>
      <c r="H663" s="419" t="n">
        <f aca="false">E663*G663</f>
        <v>5.47992</v>
      </c>
    </row>
    <row r="664" customFormat="false" ht="13.8" hidden="false" customHeight="false" outlineLevel="0" collapsed="false">
      <c r="B664" s="368"/>
      <c r="C664" s="368"/>
      <c r="D664" s="286" t="s">
        <v>987</v>
      </c>
      <c r="E664" s="379" t="n">
        <f aca="false">SUM(H661:H663)</f>
        <v>18.04392</v>
      </c>
      <c r="F664" s="403" t="s">
        <v>988</v>
      </c>
      <c r="G664" s="422" t="n">
        <v>0.02</v>
      </c>
      <c r="H664" s="419" t="n">
        <f aca="false">E664*G664</f>
        <v>0.3608784</v>
      </c>
    </row>
    <row r="665" customFormat="false" ht="13.8" hidden="false" customHeight="false" outlineLevel="0" collapsed="false">
      <c r="A665" s="329"/>
      <c r="B665" s="368"/>
      <c r="C665" s="368"/>
      <c r="D665" s="341"/>
      <c r="E665" s="343"/>
      <c r="F665" s="343"/>
      <c r="G665" s="343"/>
      <c r="H665" s="344"/>
      <c r="I665" s="370"/>
    </row>
    <row r="666" s="277" customFormat="true" ht="13.8" hidden="false" customHeight="false" outlineLevel="0" collapsed="false">
      <c r="A666" s="382"/>
      <c r="D666" s="373"/>
      <c r="E666" s="363"/>
      <c r="F666" s="363"/>
      <c r="G666" s="363"/>
      <c r="H666" s="279"/>
      <c r="I666" s="279"/>
      <c r="M666" s="0"/>
    </row>
    <row r="667" s="277" customFormat="true" ht="13.8" hidden="false" customHeight="false" outlineLevel="0" collapsed="false">
      <c r="A667" s="382" t="s">
        <v>749</v>
      </c>
      <c r="B667" s="337"/>
      <c r="C667" s="337" t="str">
        <f aca="false">+VLOOKUP($A667,[1]BASEdades!$A$3:$AA$282,3,FALSE())</f>
        <v>ut</v>
      </c>
      <c r="D667" s="338" t="str">
        <f aca="false">+VLOOKUP($A667,[1]BASEdades!$A$3:$AA$282,2,FALSE())</f>
        <v>Plantació d'arbust de port mitjà</v>
      </c>
      <c r="E667" s="338"/>
      <c r="F667" s="338"/>
      <c r="G667" s="338"/>
      <c r="H667" s="340" t="n">
        <f aca="false">+VLOOKUP($A667,[1]BASEdades!$A$3:$AA$282,7,FALSE())</f>
        <v>26</v>
      </c>
      <c r="I667" s="424" t="e">
        <f aca="false">#REF!*H667</f>
        <v>#REF!</v>
      </c>
      <c r="M667" s="0"/>
    </row>
    <row r="668" s="277" customFormat="true" ht="82.05" hidden="false" customHeight="false" outlineLevel="0" collapsed="false">
      <c r="A668" s="382"/>
      <c r="B668" s="368"/>
      <c r="C668" s="368"/>
      <c r="D668" s="341" t="str">
        <f aca="false">+VLOOKUP($A667,[1]BASEdades!$A$3:$AA$282,4,FALSE())</f>
        <v>Subministrament i plantació d'arbust o arbre de petit format en contenidor de 3 a 5 l, excavació de clot de plantació de 30x30x30 cm amb mitjans manuals, en un pendent inferior al 35 %, reblert del clot amb terra de l'excavació barrejada amb un 10% de compost sobre llit de grava de 10cm i primer reg.    (el preu no inclou la terra vegetal ni la grava)                           </v>
      </c>
      <c r="E668" s="341"/>
      <c r="F668" s="341"/>
      <c r="G668" s="341"/>
      <c r="H668" s="344"/>
      <c r="I668" s="366"/>
      <c r="M668" s="0"/>
    </row>
    <row r="669" s="277" customFormat="true" ht="14.9" hidden="false" customHeight="false" outlineLevel="0" collapsed="false">
      <c r="A669" s="382"/>
      <c r="B669" s="368"/>
      <c r="C669" s="368"/>
      <c r="D669" s="341" t="str">
        <f aca="false">+VLOOKUP($A667,[1]BASEdades!$A$3:$AA$282,5,FALSE())</f>
        <v>Espècies escollides segons la regió i el sól on us trobeu.</v>
      </c>
      <c r="E669" s="341"/>
      <c r="F669" s="341"/>
      <c r="G669" s="341"/>
      <c r="H669" s="344"/>
      <c r="I669" s="366"/>
      <c r="M669" s="0"/>
    </row>
    <row r="670" s="277" customFormat="true" ht="14.9" hidden="false" customHeight="false" outlineLevel="0" collapsed="false">
      <c r="A670" s="382"/>
      <c r="B670" s="368"/>
      <c r="C670" s="368"/>
      <c r="D670" s="341" t="str">
        <f aca="false">+VLOOKUP($A667,[1]BASEdades!$A$3:$AA$282,6,FALSE())</f>
        <v>.</v>
      </c>
      <c r="E670" s="341"/>
      <c r="F670" s="341"/>
      <c r="G670" s="341"/>
      <c r="H670" s="344"/>
      <c r="I670" s="366"/>
      <c r="M670" s="0"/>
    </row>
    <row r="671" s="277" customFormat="true" ht="13.8" hidden="false" customHeight="false" outlineLevel="0" collapsed="false">
      <c r="B671" s="368"/>
      <c r="C671" s="368"/>
      <c r="D671" s="416" t="s">
        <v>1079</v>
      </c>
      <c r="E671" s="378" t="n">
        <f aca="false">+VLOOKUP($D671,[1]PREUS!$A$1:$J$588,3,FALSE())</f>
        <v>17.85</v>
      </c>
      <c r="F671" s="378" t="str">
        <f aca="false">+VLOOKUP($D671,PREUS!$B$1:$F$589,4,FALSE())</f>
        <v>ut</v>
      </c>
      <c r="G671" s="394" t="n">
        <v>1</v>
      </c>
      <c r="H671" s="419" t="n">
        <f aca="false">E671*G671</f>
        <v>17.85</v>
      </c>
      <c r="I671" s="279"/>
      <c r="M671" s="0"/>
    </row>
    <row r="672" s="277" customFormat="true" ht="13.8" hidden="false" customHeight="false" outlineLevel="0" collapsed="false">
      <c r="B672" s="368"/>
      <c r="C672" s="368"/>
      <c r="D672" s="286" t="s">
        <v>1077</v>
      </c>
      <c r="E672" s="378" t="n">
        <f aca="false">+VLOOKUP($D672,[1]PREUS!$A$1:$J$588,3,FALSE())</f>
        <v>30.76</v>
      </c>
      <c r="F672" s="378" t="str">
        <f aca="false">+VLOOKUP($D672,PREUS!$B$1:$F$589,4,FALSE())</f>
        <v>h</v>
      </c>
      <c r="G672" s="394" t="n">
        <v>0.1</v>
      </c>
      <c r="H672" s="419" t="n">
        <f aca="false">E672*G672</f>
        <v>3.076</v>
      </c>
      <c r="I672" s="279"/>
      <c r="M672" s="0"/>
    </row>
    <row r="673" s="277" customFormat="true" ht="13.8" hidden="false" customHeight="false" outlineLevel="0" collapsed="false">
      <c r="B673" s="368"/>
      <c r="C673" s="368"/>
      <c r="D673" s="416" t="s">
        <v>986</v>
      </c>
      <c r="E673" s="378" t="n">
        <f aca="false">+VLOOKUP($D673,[1]PREUS!$A$1:$J$588,3,FALSE())</f>
        <v>25.8</v>
      </c>
      <c r="F673" s="378" t="str">
        <f aca="false">+VLOOKUP($D673,PREUS!$B$1:$F$589,4,FALSE())</f>
        <v>h</v>
      </c>
      <c r="G673" s="394" t="n">
        <v>0.1769</v>
      </c>
      <c r="H673" s="419" t="n">
        <f aca="false">E673*G673</f>
        <v>4.56402</v>
      </c>
      <c r="I673" s="279"/>
      <c r="M673" s="0"/>
    </row>
    <row r="674" s="277" customFormat="true" ht="13.8" hidden="false" customHeight="false" outlineLevel="0" collapsed="false">
      <c r="B674" s="368"/>
      <c r="C674" s="368"/>
      <c r="D674" s="286" t="s">
        <v>987</v>
      </c>
      <c r="E674" s="379" t="n">
        <f aca="false">SUM(H671:H673)</f>
        <v>25.49002</v>
      </c>
      <c r="F674" s="403" t="s">
        <v>988</v>
      </c>
      <c r="G674" s="422" t="n">
        <v>0.02</v>
      </c>
      <c r="H674" s="419" t="n">
        <f aca="false">E674*G674</f>
        <v>0.5098004</v>
      </c>
      <c r="I674" s="279"/>
      <c r="M674" s="0"/>
    </row>
    <row r="675" s="277" customFormat="true" ht="13.8" hidden="false" customHeight="false" outlineLevel="0" collapsed="false">
      <c r="A675" s="354"/>
      <c r="B675" s="361"/>
      <c r="C675" s="361"/>
      <c r="D675" s="362"/>
      <c r="E675" s="363"/>
      <c r="F675" s="363"/>
      <c r="G675" s="363"/>
      <c r="H675" s="359"/>
      <c r="I675" s="366"/>
      <c r="M675" s="0"/>
    </row>
    <row r="676" s="277" customFormat="true" ht="13.8" hidden="false" customHeight="false" outlineLevel="0" collapsed="false">
      <c r="A676" s="382"/>
      <c r="D676" s="373"/>
      <c r="E676" s="363"/>
      <c r="F676" s="363"/>
      <c r="G676" s="363"/>
      <c r="H676" s="279"/>
      <c r="I676" s="279"/>
      <c r="M676" s="0"/>
    </row>
    <row r="677" s="277" customFormat="true" ht="13.8" hidden="false" customHeight="false" outlineLevel="0" collapsed="false">
      <c r="A677" s="382" t="s">
        <v>756</v>
      </c>
      <c r="B677" s="337"/>
      <c r="C677" s="337" t="str">
        <f aca="false">+VLOOKUP($A677,[1]BASEdades!$A$3:$AA$282,3,FALSE())</f>
        <v>ut</v>
      </c>
      <c r="D677" s="338" t="str">
        <f aca="false">+VLOOKUP($A677,[1]BASEdades!$A$3:$AA$282,2,FALSE())</f>
        <v>Plantació d'enfiladissa de port mitjà</v>
      </c>
      <c r="E677" s="338"/>
      <c r="F677" s="338"/>
      <c r="G677" s="338"/>
      <c r="H677" s="340" t="n">
        <f aca="false">+VLOOKUP($A677,[1]BASEdades!$A$3:$AA$282,7,FALSE())</f>
        <v>42</v>
      </c>
      <c r="I677" s="424" t="e">
        <f aca="false">#REF!*H677</f>
        <v>#REF!</v>
      </c>
      <c r="M677" s="0"/>
    </row>
    <row r="678" s="277" customFormat="true" ht="82.05" hidden="false" customHeight="false" outlineLevel="0" collapsed="false">
      <c r="A678" s="382"/>
      <c r="B678" s="368"/>
      <c r="C678" s="368"/>
      <c r="D678" s="341" t="str">
        <f aca="false">+VLOOKUP($A677,[1]BASEdades!$A$3:$AA$282,4,FALSE())</f>
        <v>Subministrament i plantació d'enfiladissa en contenidor de 3 a 5l, excavació de clot de plantació de 25x25x25 cm amb mitjans manuals, en un pendent inferior al 35 %, reblert del clot amb terra de l'excavació barrejada amb un 10% de compost sobre llit de grava de 10cm i primer reg.        (el preu no inclou la terra vegetal ni la grava)                       </v>
      </c>
      <c r="E678" s="341"/>
      <c r="F678" s="341"/>
      <c r="G678" s="341"/>
      <c r="H678" s="344"/>
      <c r="I678" s="366"/>
      <c r="M678" s="0"/>
    </row>
    <row r="679" s="277" customFormat="true" ht="14.9" hidden="false" customHeight="false" outlineLevel="0" collapsed="false">
      <c r="A679" s="382"/>
      <c r="B679" s="368"/>
      <c r="C679" s="368"/>
      <c r="D679" s="341" t="str">
        <f aca="false">+VLOOKUP($A677,[1]BASEdades!$A$3:$AA$282,5,FALSE())</f>
        <v>Espècies escollides segons la regió i el sól on us trobeu.</v>
      </c>
      <c r="E679" s="341"/>
      <c r="F679" s="341"/>
      <c r="G679" s="341"/>
      <c r="H679" s="344"/>
      <c r="I679" s="366"/>
      <c r="M679" s="0"/>
    </row>
    <row r="680" s="277" customFormat="true" ht="14.9" hidden="false" customHeight="false" outlineLevel="0" collapsed="false">
      <c r="A680" s="382"/>
      <c r="B680" s="368"/>
      <c r="C680" s="368"/>
      <c r="D680" s="341" t="str">
        <f aca="false">+VLOOKUP($A677,[1]BASEdades!$A$3:$AA$282,6,FALSE())</f>
        <v>.</v>
      </c>
      <c r="E680" s="341"/>
      <c r="F680" s="341"/>
      <c r="G680" s="341"/>
      <c r="H680" s="344"/>
      <c r="I680" s="366"/>
      <c r="M680" s="0"/>
    </row>
    <row r="681" s="277" customFormat="true" ht="13.8" hidden="false" customHeight="false" outlineLevel="0" collapsed="false">
      <c r="B681" s="368"/>
      <c r="C681" s="368"/>
      <c r="D681" s="416" t="s">
        <v>1080</v>
      </c>
      <c r="E681" s="378" t="n">
        <f aca="false">+VLOOKUP($D681,[1]PREUS!$A$1:$J$588,3,FALSE())</f>
        <v>29</v>
      </c>
      <c r="F681" s="378" t="str">
        <f aca="false">+VLOOKUP($D681,PREUS!$B$1:$F$589,4,FALSE())</f>
        <v>ut</v>
      </c>
      <c r="G681" s="394" t="n">
        <v>1</v>
      </c>
      <c r="H681" s="419" t="n">
        <f aca="false">E681*G681</f>
        <v>29</v>
      </c>
      <c r="I681" s="279"/>
      <c r="M681" s="0"/>
    </row>
    <row r="682" s="277" customFormat="true" ht="13.8" hidden="false" customHeight="false" outlineLevel="0" collapsed="false">
      <c r="B682" s="368"/>
      <c r="C682" s="368"/>
      <c r="D682" s="286" t="s">
        <v>1077</v>
      </c>
      <c r="E682" s="378" t="n">
        <f aca="false">+VLOOKUP($D682,[1]PREUS!$A$1:$J$588,3,FALSE())</f>
        <v>30.76</v>
      </c>
      <c r="F682" s="378" t="str">
        <f aca="false">+VLOOKUP($D682,PREUS!$B$1:$F$589,4,FALSE())</f>
        <v>h</v>
      </c>
      <c r="G682" s="394" t="n">
        <v>0.215</v>
      </c>
      <c r="H682" s="419" t="n">
        <f aca="false">E682*G682</f>
        <v>6.6134</v>
      </c>
      <c r="I682" s="279"/>
      <c r="M682" s="0"/>
    </row>
    <row r="683" s="277" customFormat="true" ht="13.8" hidden="false" customHeight="false" outlineLevel="0" collapsed="false">
      <c r="B683" s="368"/>
      <c r="C683" s="368"/>
      <c r="D683" s="416" t="s">
        <v>986</v>
      </c>
      <c r="E683" s="378" t="n">
        <f aca="false">+VLOOKUP($D683,[1]PREUS!$A$1:$J$588,3,FALSE())</f>
        <v>25.8</v>
      </c>
      <c r="F683" s="378" t="str">
        <f aca="false">+VLOOKUP($D683,PREUS!$B$1:$F$589,4,FALSE())</f>
        <v>h</v>
      </c>
      <c r="G683" s="394" t="n">
        <v>0.217</v>
      </c>
      <c r="H683" s="419" t="n">
        <f aca="false">E683*G683</f>
        <v>5.5986</v>
      </c>
      <c r="I683" s="279"/>
      <c r="M683" s="0"/>
    </row>
    <row r="684" s="277" customFormat="true" ht="13.8" hidden="false" customHeight="false" outlineLevel="0" collapsed="false">
      <c r="B684" s="368"/>
      <c r="C684" s="368"/>
      <c r="D684" s="286" t="s">
        <v>987</v>
      </c>
      <c r="E684" s="379" t="n">
        <f aca="false">SUM(H681:H683)</f>
        <v>41.212</v>
      </c>
      <c r="F684" s="403" t="s">
        <v>988</v>
      </c>
      <c r="G684" s="422" t="n">
        <v>0.02</v>
      </c>
      <c r="H684" s="419" t="n">
        <f aca="false">E684*G684</f>
        <v>0.82424</v>
      </c>
      <c r="I684" s="279"/>
      <c r="M684" s="0"/>
    </row>
    <row r="685" s="277" customFormat="true" ht="13.8" hidden="false" customHeight="false" outlineLevel="0" collapsed="false">
      <c r="A685" s="354"/>
      <c r="B685" s="361"/>
      <c r="C685" s="361"/>
      <c r="D685" s="362"/>
      <c r="E685" s="363"/>
      <c r="F685" s="363"/>
      <c r="G685" s="363"/>
      <c r="H685" s="359"/>
      <c r="I685" s="366"/>
      <c r="M685" s="0"/>
    </row>
    <row r="686" s="277" customFormat="true" ht="13.8" hidden="false" customHeight="false" outlineLevel="0" collapsed="false">
      <c r="A686" s="354" t="s">
        <v>759</v>
      </c>
      <c r="B686" s="337"/>
      <c r="C686" s="337" t="s">
        <v>25</v>
      </c>
      <c r="D686" s="338" t="s">
        <v>760</v>
      </c>
      <c r="E686" s="338"/>
      <c r="F686" s="338"/>
      <c r="G686" s="338"/>
      <c r="H686" s="340" t="n">
        <f aca="false">+VLOOKUP($A686,[1]BASEdades!$A$3:$AA$282,7,FALSE())</f>
        <v>18.345</v>
      </c>
      <c r="I686" s="424" t="e">
        <f aca="false">#REF!*H686</f>
        <v>#REF!</v>
      </c>
      <c r="M686" s="0"/>
    </row>
    <row r="687" s="277" customFormat="true" ht="95.5" hidden="false" customHeight="false" outlineLevel="0" collapsed="false">
      <c r="A687" s="354"/>
      <c r="B687" s="368"/>
      <c r="C687" s="368"/>
      <c r="D687" s="341" t="s">
        <v>761</v>
      </c>
      <c r="E687" s="341"/>
      <c r="F687" s="341"/>
      <c r="G687" s="341"/>
      <c r="H687" s="344"/>
      <c r="I687" s="366"/>
      <c r="M687" s="0"/>
    </row>
    <row r="688" s="277" customFormat="true" ht="13.8" hidden="false" customHeight="false" outlineLevel="0" collapsed="false">
      <c r="A688" s="354"/>
      <c r="B688" s="368"/>
      <c r="C688" s="368"/>
      <c r="D688" s="341"/>
      <c r="E688" s="341"/>
      <c r="F688" s="341"/>
      <c r="G688" s="341"/>
      <c r="H688" s="344"/>
      <c r="I688" s="366"/>
      <c r="M688" s="0"/>
    </row>
    <row r="689" s="277" customFormat="true" ht="13.8" hidden="false" customHeight="false" outlineLevel="0" collapsed="false">
      <c r="A689" s="354" t="s">
        <v>766</v>
      </c>
      <c r="B689" s="337"/>
      <c r="C689" s="337" t="s">
        <v>10</v>
      </c>
      <c r="D689" s="338" t="s">
        <v>767</v>
      </c>
      <c r="E689" s="338"/>
      <c r="F689" s="338"/>
      <c r="G689" s="338"/>
      <c r="H689" s="340" t="n">
        <f aca="false">+VLOOKUP($A689,[1]BASEdades!$A$3:$AA$282,7,FALSE())</f>
        <v>77.45</v>
      </c>
      <c r="I689" s="424" t="e">
        <f aca="false">#REF!*H689</f>
        <v>#REF!</v>
      </c>
      <c r="M689" s="0"/>
    </row>
    <row r="690" s="277" customFormat="true" ht="28.35" hidden="false" customHeight="false" outlineLevel="0" collapsed="false">
      <c r="A690" s="354"/>
      <c r="B690" s="368"/>
      <c r="C690" s="368"/>
      <c r="D690" s="341" t="s">
        <v>768</v>
      </c>
      <c r="E690" s="341"/>
      <c r="F690" s="341"/>
      <c r="G690" s="341"/>
      <c r="H690" s="344"/>
      <c r="I690" s="366"/>
      <c r="M690" s="0"/>
    </row>
    <row r="691" s="277" customFormat="true" ht="13.8" hidden="false" customHeight="false" outlineLevel="0" collapsed="false">
      <c r="H691" s="279"/>
      <c r="I691" s="279"/>
      <c r="M691" s="0"/>
    </row>
    <row r="692" s="277" customFormat="true" ht="13.8" hidden="false" customHeight="false" outlineLevel="0" collapsed="false">
      <c r="A692" s="354"/>
      <c r="B692" s="355"/>
      <c r="C692" s="355"/>
      <c r="D692" s="351"/>
      <c r="E692" s="357"/>
      <c r="F692" s="357"/>
      <c r="G692" s="357"/>
      <c r="H692" s="359"/>
      <c r="I692" s="360"/>
      <c r="M692" s="0"/>
    </row>
    <row r="693" s="277" customFormat="true" ht="13.8" hidden="false" customHeight="false" outlineLevel="0" collapsed="false">
      <c r="D693" s="278"/>
      <c r="H693" s="279"/>
      <c r="I693" s="279"/>
      <c r="M693" s="0"/>
    </row>
    <row r="694" s="277" customFormat="true" ht="13.8" hidden="false" customHeight="false" outlineLevel="0" collapsed="false">
      <c r="D694" s="278"/>
      <c r="H694" s="279"/>
      <c r="I694" s="279"/>
      <c r="M694" s="0"/>
    </row>
    <row r="695" s="277" customFormat="true" ht="13.8" hidden="false" customHeight="false" outlineLevel="0" collapsed="false">
      <c r="D695" s="278"/>
      <c r="H695" s="279"/>
      <c r="I695" s="279"/>
      <c r="M695" s="0"/>
    </row>
    <row r="696" s="277" customFormat="true" ht="13.8" hidden="false" customHeight="false" outlineLevel="0" collapsed="false">
      <c r="D696" s="278"/>
      <c r="H696" s="279"/>
      <c r="I696" s="279"/>
      <c r="M696" s="0"/>
    </row>
    <row r="697" s="277" customFormat="true" ht="13.8" hidden="false" customHeight="false" outlineLevel="0" collapsed="false">
      <c r="D697" s="278"/>
      <c r="H697" s="279"/>
      <c r="I697" s="279"/>
      <c r="M697" s="0"/>
    </row>
    <row r="698" s="277" customFormat="true" ht="13.8" hidden="false" customHeight="false" outlineLevel="0" collapsed="false">
      <c r="D698" s="278"/>
      <c r="H698" s="279"/>
      <c r="I698" s="279"/>
      <c r="M698" s="0"/>
    </row>
    <row r="699" s="277" customFormat="true" ht="13.8" hidden="false" customHeight="false" outlineLevel="0" collapsed="false">
      <c r="D699" s="278"/>
      <c r="H699" s="279"/>
      <c r="I699" s="279"/>
      <c r="M699" s="0"/>
    </row>
    <row r="700" s="277" customFormat="true" ht="13.8" hidden="false" customHeight="false" outlineLevel="0" collapsed="false">
      <c r="D700" s="278"/>
      <c r="H700" s="279"/>
      <c r="I700" s="279"/>
      <c r="M700" s="0"/>
    </row>
    <row r="701" s="277" customFormat="true" ht="13.8" hidden="false" customHeight="false" outlineLevel="0" collapsed="false">
      <c r="D701" s="278"/>
      <c r="H701" s="279"/>
      <c r="I701" s="279"/>
      <c r="M701" s="0"/>
    </row>
    <row r="702" s="277" customFormat="true" ht="13.8" hidden="false" customHeight="false" outlineLevel="0" collapsed="false">
      <c r="D702" s="278"/>
      <c r="H702" s="279"/>
      <c r="I702" s="279"/>
      <c r="M702" s="0"/>
    </row>
    <row r="703" s="277" customFormat="true" ht="13.8" hidden="false" customHeight="false" outlineLevel="0" collapsed="false">
      <c r="D703" s="278"/>
      <c r="H703" s="279"/>
      <c r="I703" s="279"/>
      <c r="M703" s="0"/>
    </row>
    <row r="704" s="277" customFormat="true" ht="13.8" hidden="false" customHeight="false" outlineLevel="0" collapsed="false">
      <c r="D704" s="278"/>
      <c r="H704" s="279"/>
      <c r="I704" s="279"/>
      <c r="M704" s="0"/>
    </row>
    <row r="705" s="277" customFormat="true" ht="13.8" hidden="false" customHeight="false" outlineLevel="0" collapsed="false">
      <c r="D705" s="278"/>
      <c r="H705" s="279"/>
      <c r="I705" s="279"/>
      <c r="M705" s="0"/>
    </row>
    <row r="706" s="277" customFormat="true" ht="13.8" hidden="false" customHeight="false" outlineLevel="0" collapsed="false">
      <c r="D706" s="278"/>
      <c r="H706" s="279"/>
      <c r="I706" s="279"/>
      <c r="M706" s="0"/>
    </row>
    <row r="707" s="277" customFormat="true" ht="13.8" hidden="false" customHeight="false" outlineLevel="0" collapsed="false">
      <c r="D707" s="278"/>
      <c r="H707" s="279"/>
      <c r="I707" s="279"/>
      <c r="M707" s="0"/>
    </row>
  </sheetData>
  <printOptions headings="false" gridLines="false" gridLinesSet="true" horizontalCentered="false" verticalCentered="false"/>
  <pageMargins left="0.7" right="0.7" top="0.75" bottom="0.75" header="0.511811023622047" footer="0.3"/>
  <pageSetup paperSize="9" scale="100" fitToWidth="1" fitToHeight="0" pageOrder="overThenDown" orientation="portrait" blackAndWhite="false" draft="false" cellComments="none" horizontalDpi="300" verticalDpi="300" copies="1"/>
  <headerFooter differentFirst="false" differentOddEven="false">
    <oddHeader/>
    <oddFooter>&amp;L&amp;"Swis721 Lt BT,Clar"&amp;8VALORACIÓ ECONÒMICA - ESCOLA BRESSOL MUNICIPAL ROCAFONDA&amp;C&amp;"Swis721 Lt BT,Clar"&amp;9&amp;Kdedede  ACCÉS</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120"/>
  <sheetViews>
    <sheetView showFormulas="false" showGridLines="true" showRowColHeaders="true" showZeros="true" rightToLeft="false" tabSelected="false" showOutlineSymbols="true" defaultGridColor="true" view="pageBreakPreview" topLeftCell="A1" colorId="64" zoomScale="100" zoomScaleNormal="130" zoomScalePageLayoutView="100" workbookViewId="0">
      <selection pane="topLeft" activeCell="D5" activeCellId="0" sqref="D5"/>
    </sheetView>
  </sheetViews>
  <sheetFormatPr defaultColWidth="9.1484375" defaultRowHeight="13.8" customHeight="true" zeroHeight="false" outlineLevelRow="0" outlineLevelCol="0"/>
  <cols>
    <col collapsed="false" customWidth="false" hidden="true" outlineLevel="0" max="1" min="1" style="427" width="9.14"/>
    <col collapsed="false" customWidth="true" hidden="false" outlineLevel="0" max="2" min="2" style="417" width="34.57"/>
    <col collapsed="false" customWidth="true" hidden="false" outlineLevel="0" max="3" min="3" style="428" width="37.15"/>
    <col collapsed="false" customWidth="true" hidden="false" outlineLevel="0" max="4" min="4" style="427" width="10.42"/>
    <col collapsed="false" customWidth="false" hidden="false" outlineLevel="0" max="7" min="5" style="427" width="9.14"/>
    <col collapsed="false" customWidth="false" hidden="false" outlineLevel="0" max="16379" min="13" style="427" width="9.14"/>
    <col collapsed="false" customWidth="true" hidden="false" outlineLevel="0" max="16384" min="16380" style="427" width="11.53"/>
  </cols>
  <sheetData>
    <row r="1" s="287" customFormat="true" ht="13.8" hidden="false" customHeight="false" outlineLevel="0" collapsed="false">
      <c r="A1" s="280"/>
      <c r="B1" s="281" t="str">
        <f aca="false">PORTADA_PTO!E12</f>
        <v>VALORACIÓ ECONÒMICA</v>
      </c>
      <c r="C1" s="282"/>
      <c r="D1" s="283"/>
      <c r="E1" s="282"/>
      <c r="F1" s="286"/>
      <c r="G1" s="286"/>
      <c r="H1" s="0"/>
      <c r="I1" s="0"/>
      <c r="J1" s="0"/>
      <c r="K1" s="0"/>
      <c r="L1" s="0"/>
    </row>
    <row r="2" s="287" customFormat="true" ht="13.8" hidden="false" customHeight="false" outlineLevel="0" collapsed="false">
      <c r="A2" s="280"/>
      <c r="B2" s="288" t="str">
        <f aca="false">PORTADA_PTO!A18</f>
        <v>TRANSFORMACIÓ DELS ESPAIS EXTERIORS DE L’ESCOLA BRESSOL MUNICIPAL DE ROCAFONDA</v>
      </c>
      <c r="C2" s="289"/>
      <c r="D2" s="290"/>
      <c r="E2" s="289"/>
      <c r="F2" s="286"/>
      <c r="G2" s="286"/>
      <c r="H2" s="0"/>
      <c r="I2" s="0"/>
      <c r="J2" s="0"/>
      <c r="K2" s="0"/>
      <c r="L2" s="0"/>
    </row>
    <row r="3" s="287" customFormat="true" ht="13.8" hidden="false" customHeight="false" outlineLevel="0" collapsed="false">
      <c r="A3" s="280"/>
      <c r="B3" s="293" t="str">
        <f aca="false">PORTADA_PTO!E14</f>
        <v>MATARÓ</v>
      </c>
      <c r="C3" s="289"/>
      <c r="D3" s="290"/>
      <c r="E3" s="289"/>
      <c r="F3" s="286"/>
      <c r="G3" s="286"/>
      <c r="H3" s="0"/>
      <c r="I3" s="0"/>
      <c r="J3" s="0"/>
      <c r="K3" s="0"/>
      <c r="L3" s="0"/>
    </row>
    <row r="4" s="287" customFormat="true" ht="13.8" hidden="false" customHeight="false" outlineLevel="0" collapsed="false">
      <c r="A4" s="280"/>
      <c r="B4" s="294"/>
      <c r="C4" s="295"/>
      <c r="D4" s="298" t="str">
        <f aca="false">PORTADA_PTO!E10</f>
        <v>Barcelona, 13 maig dimecres</v>
      </c>
      <c r="E4" s="295"/>
      <c r="F4" s="286"/>
      <c r="G4" s="286"/>
      <c r="H4" s="0"/>
      <c r="I4" s="0"/>
      <c r="J4" s="0"/>
      <c r="K4" s="0"/>
      <c r="L4" s="0"/>
    </row>
    <row r="7" s="287" customFormat="true" ht="17.35" hidden="false" customHeight="false" outlineLevel="0" collapsed="false">
      <c r="B7" s="305" t="s">
        <v>1082</v>
      </c>
      <c r="C7" s="305"/>
      <c r="D7" s="305"/>
      <c r="E7" s="305"/>
      <c r="F7" s="426"/>
      <c r="H7" s="0"/>
      <c r="I7" s="0"/>
      <c r="J7" s="0"/>
      <c r="K7" s="0"/>
      <c r="L7" s="0"/>
    </row>
    <row r="8" s="429" customFormat="true" ht="13.8" hidden="false" customHeight="false" outlineLevel="0" collapsed="false">
      <c r="B8" s="416"/>
      <c r="C8" s="430"/>
      <c r="H8" s="0"/>
      <c r="I8" s="0"/>
      <c r="J8" s="0"/>
      <c r="K8" s="0"/>
      <c r="L8" s="0"/>
    </row>
    <row r="9" s="431" customFormat="true" ht="13.8" hidden="false" customHeight="false" outlineLevel="0" collapsed="false">
      <c r="B9" s="432" t="s">
        <v>1083</v>
      </c>
      <c r="C9" s="433"/>
      <c r="H9" s="0"/>
      <c r="I9" s="0"/>
      <c r="J9" s="0"/>
      <c r="K9" s="0"/>
      <c r="L9" s="0"/>
    </row>
    <row r="10" s="429" customFormat="true" ht="13.8" hidden="false" customHeight="false" outlineLevel="0" collapsed="false">
      <c r="B10" s="416" t="s">
        <v>1084</v>
      </c>
      <c r="C10" s="430"/>
      <c r="D10" s="429" t="n">
        <v>32</v>
      </c>
      <c r="E10" s="429" t="s">
        <v>90</v>
      </c>
      <c r="F10" s="434"/>
      <c r="H10" s="0"/>
      <c r="I10" s="0"/>
      <c r="J10" s="0"/>
      <c r="K10" s="0"/>
      <c r="L10" s="0"/>
    </row>
    <row r="11" s="429" customFormat="true" ht="13.8" hidden="false" customHeight="false" outlineLevel="0" collapsed="false">
      <c r="B11" s="416" t="s">
        <v>991</v>
      </c>
      <c r="C11" s="430"/>
      <c r="D11" s="429" t="n">
        <v>27.39</v>
      </c>
      <c r="E11" s="429" t="s">
        <v>90</v>
      </c>
      <c r="H11" s="0"/>
      <c r="I11" s="0"/>
      <c r="J11" s="0"/>
      <c r="K11" s="0"/>
      <c r="L11" s="0"/>
    </row>
    <row r="12" s="429" customFormat="true" ht="13.8" hidden="false" customHeight="false" outlineLevel="0" collapsed="false">
      <c r="B12" s="416" t="s">
        <v>994</v>
      </c>
      <c r="C12" s="430"/>
      <c r="D12" s="429" t="n">
        <v>26.64</v>
      </c>
      <c r="E12" s="429" t="s">
        <v>90</v>
      </c>
      <c r="H12" s="0"/>
      <c r="I12" s="0"/>
      <c r="J12" s="0"/>
      <c r="K12" s="0"/>
      <c r="L12" s="0"/>
    </row>
    <row r="13" s="429" customFormat="true" ht="13.8" hidden="false" customHeight="false" outlineLevel="0" collapsed="false">
      <c r="B13" s="416" t="s">
        <v>986</v>
      </c>
      <c r="C13" s="430"/>
      <c r="D13" s="430" t="n">
        <v>25.8</v>
      </c>
      <c r="E13" s="429" t="s">
        <v>90</v>
      </c>
      <c r="H13" s="0"/>
      <c r="I13" s="0"/>
      <c r="J13" s="0"/>
      <c r="K13" s="0"/>
      <c r="L13" s="0"/>
    </row>
    <row r="14" s="429" customFormat="true" ht="13.8" hidden="false" customHeight="false" outlineLevel="0" collapsed="false">
      <c r="B14" s="416" t="s">
        <v>989</v>
      </c>
      <c r="C14" s="430"/>
      <c r="D14" s="429" t="n">
        <v>30.79</v>
      </c>
      <c r="E14" s="429" t="s">
        <v>90</v>
      </c>
      <c r="H14" s="0"/>
      <c r="I14" s="0"/>
      <c r="J14" s="0"/>
      <c r="K14" s="0"/>
      <c r="L14" s="0"/>
    </row>
    <row r="15" s="429" customFormat="true" ht="13.8" hidden="false" customHeight="false" outlineLevel="0" collapsed="false">
      <c r="B15" s="416" t="s">
        <v>1002</v>
      </c>
      <c r="C15" s="430"/>
      <c r="D15" s="429" t="n">
        <v>30.76</v>
      </c>
      <c r="E15" s="429" t="s">
        <v>90</v>
      </c>
      <c r="H15" s="0"/>
      <c r="I15" s="0"/>
      <c r="J15" s="0"/>
      <c r="K15" s="0"/>
      <c r="L15" s="0"/>
    </row>
    <row r="16" s="429" customFormat="true" ht="13.8" hidden="false" customHeight="false" outlineLevel="0" collapsed="false">
      <c r="B16" s="416" t="s">
        <v>1003</v>
      </c>
      <c r="C16" s="430"/>
      <c r="D16" s="429" t="n">
        <v>27.36</v>
      </c>
      <c r="E16" s="429" t="s">
        <v>90</v>
      </c>
      <c r="H16" s="0"/>
      <c r="I16" s="0"/>
      <c r="J16" s="0"/>
      <c r="K16" s="0"/>
      <c r="L16" s="0"/>
    </row>
    <row r="17" s="429" customFormat="true" ht="13.8" hidden="false" customHeight="false" outlineLevel="0" collapsed="false">
      <c r="B17" s="416" t="s">
        <v>999</v>
      </c>
      <c r="C17" s="430"/>
      <c r="D17" s="429" t="n">
        <v>27.36</v>
      </c>
      <c r="E17" s="429" t="s">
        <v>90</v>
      </c>
      <c r="H17" s="0"/>
      <c r="I17" s="0"/>
      <c r="J17" s="0"/>
      <c r="K17" s="0"/>
      <c r="L17" s="0"/>
    </row>
    <row r="18" s="429" customFormat="true" ht="13.8" hidden="false" customHeight="false" outlineLevel="0" collapsed="false">
      <c r="B18" s="416" t="s">
        <v>998</v>
      </c>
      <c r="C18" s="430"/>
      <c r="D18" s="429" t="n">
        <v>30.76</v>
      </c>
      <c r="E18" s="429" t="s">
        <v>90</v>
      </c>
      <c r="H18" s="0"/>
      <c r="I18" s="0"/>
      <c r="J18" s="0"/>
      <c r="K18" s="0"/>
      <c r="L18" s="0"/>
    </row>
    <row r="19" s="429" customFormat="true" ht="13.8" hidden="false" customHeight="false" outlineLevel="0" collapsed="false">
      <c r="B19" s="416" t="s">
        <v>1029</v>
      </c>
      <c r="C19" s="430"/>
      <c r="D19" s="429" t="n">
        <v>31.79</v>
      </c>
      <c r="E19" s="429" t="s">
        <v>90</v>
      </c>
      <c r="H19" s="0"/>
      <c r="I19" s="0"/>
      <c r="J19" s="0"/>
      <c r="K19" s="0"/>
      <c r="L19" s="0"/>
    </row>
    <row r="20" s="429" customFormat="true" ht="13.8" hidden="false" customHeight="false" outlineLevel="0" collapsed="false">
      <c r="B20" s="416" t="s">
        <v>1030</v>
      </c>
      <c r="C20" s="430"/>
      <c r="D20" s="429" t="n">
        <v>27.39</v>
      </c>
      <c r="E20" s="429" t="s">
        <v>90</v>
      </c>
      <c r="H20" s="0"/>
      <c r="I20" s="0"/>
      <c r="J20" s="0"/>
      <c r="K20" s="0"/>
      <c r="L20" s="0"/>
    </row>
    <row r="21" s="429" customFormat="true" ht="13.8" hidden="false" customHeight="false" outlineLevel="0" collapsed="false">
      <c r="B21" s="416" t="s">
        <v>1032</v>
      </c>
      <c r="C21" s="430"/>
      <c r="D21" s="429" t="n">
        <v>31.79</v>
      </c>
      <c r="E21" s="429" t="s">
        <v>90</v>
      </c>
      <c r="H21" s="0"/>
      <c r="I21" s="0"/>
      <c r="J21" s="0"/>
      <c r="K21" s="0"/>
      <c r="L21" s="0"/>
    </row>
    <row r="22" s="429" customFormat="true" ht="13.8" hidden="false" customHeight="false" outlineLevel="0" collapsed="false">
      <c r="B22" s="416" t="s">
        <v>1033</v>
      </c>
      <c r="C22" s="430"/>
      <c r="D22" s="429" t="n">
        <v>27.36</v>
      </c>
      <c r="E22" s="429" t="s">
        <v>90</v>
      </c>
      <c r="H22" s="0"/>
      <c r="I22" s="0"/>
      <c r="J22" s="0"/>
      <c r="K22" s="0"/>
      <c r="L22" s="0"/>
    </row>
    <row r="23" s="429" customFormat="true" ht="13.8" hidden="false" customHeight="false" outlineLevel="0" collapsed="false">
      <c r="B23" s="416" t="s">
        <v>1035</v>
      </c>
      <c r="C23" s="430"/>
      <c r="D23" s="429" t="n">
        <v>31.27</v>
      </c>
      <c r="E23" s="429" t="s">
        <v>90</v>
      </c>
      <c r="H23" s="0"/>
      <c r="I23" s="0"/>
      <c r="J23" s="0"/>
      <c r="K23" s="0"/>
      <c r="L23" s="0"/>
    </row>
    <row r="24" s="429" customFormat="true" ht="13.8" hidden="false" customHeight="false" outlineLevel="0" collapsed="false">
      <c r="B24" s="416" t="s">
        <v>1036</v>
      </c>
      <c r="C24" s="430"/>
      <c r="D24" s="429" t="n">
        <v>27.48</v>
      </c>
      <c r="E24" s="429" t="s">
        <v>90</v>
      </c>
      <c r="H24" s="0"/>
      <c r="I24" s="0"/>
      <c r="J24" s="0"/>
      <c r="K24" s="0"/>
      <c r="L24" s="0"/>
    </row>
    <row r="25" s="429" customFormat="true" ht="13.8" hidden="false" customHeight="false" outlineLevel="0" collapsed="false">
      <c r="B25" s="416" t="s">
        <v>1042</v>
      </c>
      <c r="C25" s="430"/>
      <c r="D25" s="429" t="n">
        <v>31.79</v>
      </c>
      <c r="E25" s="429" t="s">
        <v>90</v>
      </c>
      <c r="H25" s="0"/>
      <c r="I25" s="0"/>
      <c r="J25" s="0"/>
      <c r="K25" s="0"/>
      <c r="L25" s="0"/>
    </row>
    <row r="26" s="429" customFormat="true" ht="13.8" hidden="false" customHeight="false" outlineLevel="0" collapsed="false">
      <c r="B26" s="416" t="s">
        <v>1043</v>
      </c>
      <c r="C26" s="430"/>
      <c r="D26" s="429" t="n">
        <v>27.36</v>
      </c>
      <c r="E26" s="429" t="s">
        <v>90</v>
      </c>
      <c r="H26" s="0"/>
      <c r="I26" s="0"/>
      <c r="J26" s="0"/>
      <c r="K26" s="0"/>
      <c r="L26" s="0"/>
    </row>
    <row r="27" s="429" customFormat="true" ht="13.8" hidden="false" customHeight="false" outlineLevel="0" collapsed="false">
      <c r="B27" s="416" t="s">
        <v>1005</v>
      </c>
      <c r="C27" s="430"/>
      <c r="D27" s="429" t="n">
        <v>30.79</v>
      </c>
      <c r="E27" s="429" t="s">
        <v>90</v>
      </c>
      <c r="H27" s="0"/>
      <c r="I27" s="0"/>
      <c r="J27" s="0"/>
      <c r="K27" s="0"/>
      <c r="L27" s="0"/>
    </row>
    <row r="28" s="429" customFormat="true" ht="13.8" hidden="false" customHeight="false" outlineLevel="0" collapsed="false">
      <c r="B28" s="416" t="s">
        <v>1006</v>
      </c>
      <c r="C28" s="430"/>
      <c r="D28" s="429" t="n">
        <v>27.39</v>
      </c>
      <c r="E28" s="429" t="s">
        <v>90</v>
      </c>
      <c r="H28" s="0"/>
      <c r="I28" s="0"/>
      <c r="J28" s="0"/>
      <c r="K28" s="0"/>
      <c r="L28" s="0"/>
    </row>
    <row r="29" s="429" customFormat="true" ht="13.8" hidden="false" customHeight="false" outlineLevel="0" collapsed="false">
      <c r="B29" s="416" t="s">
        <v>1047</v>
      </c>
      <c r="C29" s="430"/>
      <c r="D29" s="429" t="n">
        <v>30.76</v>
      </c>
      <c r="E29" s="429" t="s">
        <v>90</v>
      </c>
      <c r="H29" s="0"/>
      <c r="I29" s="0"/>
      <c r="J29" s="0"/>
      <c r="K29" s="0"/>
      <c r="L29" s="0"/>
    </row>
    <row r="30" s="429" customFormat="true" ht="13.8" hidden="false" customHeight="false" outlineLevel="0" collapsed="false">
      <c r="B30" s="416" t="s">
        <v>1077</v>
      </c>
      <c r="C30" s="430"/>
      <c r="D30" s="429" t="n">
        <v>30.76</v>
      </c>
      <c r="E30" s="429" t="s">
        <v>90</v>
      </c>
      <c r="H30" s="0"/>
      <c r="I30" s="0"/>
      <c r="J30" s="0"/>
      <c r="K30" s="0"/>
      <c r="L30" s="0"/>
    </row>
    <row r="31" s="429" customFormat="true" ht="13.8" hidden="false" customHeight="false" outlineLevel="0" collapsed="false">
      <c r="B31" s="416"/>
      <c r="C31" s="430"/>
      <c r="H31" s="0"/>
      <c r="I31" s="0"/>
      <c r="J31" s="0"/>
      <c r="K31" s="0"/>
      <c r="L31" s="0"/>
    </row>
    <row r="32" s="431" customFormat="true" ht="13.8" hidden="false" customHeight="false" outlineLevel="0" collapsed="false">
      <c r="B32" s="432" t="s">
        <v>1085</v>
      </c>
      <c r="C32" s="433"/>
      <c r="H32" s="0"/>
      <c r="I32" s="0"/>
      <c r="J32" s="0"/>
      <c r="K32" s="0"/>
      <c r="L32" s="0"/>
    </row>
    <row r="33" s="429" customFormat="true" ht="13.8" hidden="false" customHeight="false" outlineLevel="0" collapsed="false">
      <c r="B33" s="416" t="s">
        <v>992</v>
      </c>
      <c r="C33" s="430"/>
      <c r="D33" s="435" t="n">
        <v>4.57</v>
      </c>
      <c r="E33" s="436" t="s">
        <v>90</v>
      </c>
      <c r="H33" s="0"/>
      <c r="I33" s="0"/>
      <c r="J33" s="0"/>
      <c r="K33" s="0"/>
      <c r="L33" s="0"/>
    </row>
    <row r="34" s="429" customFormat="true" ht="13.8" hidden="false" customHeight="false" outlineLevel="0" collapsed="false">
      <c r="B34" s="416" t="s">
        <v>993</v>
      </c>
      <c r="C34" s="430"/>
      <c r="D34" s="435" t="n">
        <v>4.27</v>
      </c>
      <c r="E34" s="436" t="s">
        <v>90</v>
      </c>
      <c r="H34" s="0"/>
      <c r="I34" s="0"/>
      <c r="J34" s="0"/>
      <c r="K34" s="0"/>
      <c r="L34" s="0"/>
    </row>
    <row r="35" s="429" customFormat="true" ht="13.8" hidden="false" customHeight="false" outlineLevel="0" collapsed="false">
      <c r="B35" s="416" t="s">
        <v>990</v>
      </c>
      <c r="C35" s="430"/>
      <c r="D35" s="429" t="n">
        <v>42.15</v>
      </c>
      <c r="E35" s="436" t="s">
        <v>90</v>
      </c>
      <c r="H35" s="0"/>
      <c r="I35" s="0"/>
      <c r="J35" s="0"/>
      <c r="K35" s="0"/>
      <c r="L35" s="0"/>
    </row>
    <row r="36" s="429" customFormat="true" ht="13.8" hidden="false" customHeight="false" outlineLevel="0" collapsed="false">
      <c r="B36" s="416" t="s">
        <v>1001</v>
      </c>
      <c r="C36" s="430"/>
      <c r="D36" s="429" t="n">
        <v>3.42</v>
      </c>
      <c r="E36" s="436" t="s">
        <v>90</v>
      </c>
      <c r="H36" s="0"/>
      <c r="I36" s="0"/>
      <c r="J36" s="0"/>
      <c r="K36" s="0"/>
      <c r="L36" s="0"/>
    </row>
    <row r="37" s="429" customFormat="true" ht="25.35" hidden="false" customHeight="false" outlineLevel="0" collapsed="false">
      <c r="B37" s="416" t="s">
        <v>1010</v>
      </c>
      <c r="C37" s="430"/>
      <c r="D37" s="429" t="n">
        <v>36.8</v>
      </c>
      <c r="E37" s="436" t="s">
        <v>90</v>
      </c>
      <c r="H37" s="0"/>
      <c r="I37" s="0"/>
      <c r="J37" s="0"/>
      <c r="K37" s="0"/>
      <c r="L37" s="0"/>
    </row>
    <row r="38" s="429" customFormat="true" ht="25.35" hidden="false" customHeight="false" outlineLevel="0" collapsed="false">
      <c r="B38" s="416" t="s">
        <v>1011</v>
      </c>
      <c r="C38" s="430"/>
      <c r="D38" s="429" t="n">
        <v>3.92</v>
      </c>
      <c r="E38" s="436" t="s">
        <v>90</v>
      </c>
      <c r="H38" s="0"/>
      <c r="I38" s="0"/>
      <c r="J38" s="0"/>
      <c r="K38" s="0"/>
      <c r="L38" s="0"/>
    </row>
    <row r="39" s="429" customFormat="true" ht="13.8" hidden="false" customHeight="false" outlineLevel="0" collapsed="false">
      <c r="B39" s="416" t="s">
        <v>1086</v>
      </c>
      <c r="C39" s="430"/>
      <c r="D39" s="429" t="n">
        <v>121.25</v>
      </c>
      <c r="E39" s="436" t="s">
        <v>90</v>
      </c>
      <c r="H39" s="0"/>
      <c r="I39" s="0"/>
      <c r="J39" s="0"/>
      <c r="K39" s="0"/>
      <c r="L39" s="0"/>
    </row>
    <row r="40" s="429" customFormat="true" ht="13.8" hidden="false" customHeight="false" outlineLevel="0" collapsed="false">
      <c r="B40" s="416" t="s">
        <v>1087</v>
      </c>
      <c r="C40" s="430"/>
      <c r="D40" s="429" t="n">
        <v>10.58</v>
      </c>
      <c r="E40" s="436" t="s">
        <v>90</v>
      </c>
      <c r="H40" s="0"/>
      <c r="I40" s="0"/>
      <c r="J40" s="0"/>
      <c r="K40" s="0"/>
      <c r="L40" s="0"/>
    </row>
    <row r="41" s="429" customFormat="true" ht="25.35" hidden="false" customHeight="false" outlineLevel="0" collapsed="false">
      <c r="B41" s="416" t="s">
        <v>1088</v>
      </c>
      <c r="C41" s="430"/>
      <c r="D41" s="429" t="n">
        <v>45.83</v>
      </c>
      <c r="E41" s="436" t="s">
        <v>90</v>
      </c>
      <c r="H41" s="0"/>
      <c r="I41" s="0"/>
      <c r="J41" s="0"/>
      <c r="K41" s="0"/>
      <c r="L41" s="0"/>
    </row>
    <row r="42" s="429" customFormat="true" ht="13.8" hidden="false" customHeight="false" outlineLevel="0" collapsed="false">
      <c r="B42" s="430" t="s">
        <v>1015</v>
      </c>
      <c r="C42" s="430"/>
      <c r="D42" s="429" t="n">
        <v>5.23</v>
      </c>
      <c r="E42" s="436" t="s">
        <v>90</v>
      </c>
      <c r="H42" s="0"/>
      <c r="I42" s="0"/>
      <c r="J42" s="0"/>
      <c r="K42" s="0"/>
      <c r="L42" s="0"/>
    </row>
    <row r="43" s="429" customFormat="true" ht="13.8" hidden="false" customHeight="false" outlineLevel="0" collapsed="false">
      <c r="B43" s="430" t="s">
        <v>1016</v>
      </c>
      <c r="C43" s="430"/>
      <c r="D43" s="429" t="n">
        <v>5.68</v>
      </c>
      <c r="E43" s="436" t="s">
        <v>90</v>
      </c>
      <c r="H43" s="0"/>
      <c r="I43" s="0"/>
      <c r="J43" s="0"/>
      <c r="K43" s="0"/>
      <c r="L43" s="0"/>
    </row>
    <row r="44" s="429" customFormat="true" ht="25.35" hidden="false" customHeight="false" outlineLevel="0" collapsed="false">
      <c r="B44" s="430" t="s">
        <v>1023</v>
      </c>
      <c r="C44" s="430"/>
      <c r="D44" s="429" t="n">
        <v>3.45</v>
      </c>
      <c r="E44" s="429" t="s">
        <v>90</v>
      </c>
      <c r="H44" s="0"/>
      <c r="I44" s="0"/>
      <c r="J44" s="0"/>
      <c r="K44" s="0"/>
      <c r="L44" s="0"/>
    </row>
    <row r="45" s="429" customFormat="true" ht="25.35" hidden="false" customHeight="false" outlineLevel="0" collapsed="false">
      <c r="B45" s="430" t="s">
        <v>1024</v>
      </c>
      <c r="C45" s="430"/>
      <c r="D45" s="429" t="n">
        <v>1.94</v>
      </c>
      <c r="E45" s="429" t="s">
        <v>90</v>
      </c>
      <c r="H45" s="0"/>
      <c r="I45" s="0"/>
      <c r="J45" s="0"/>
      <c r="K45" s="0"/>
      <c r="L45" s="0"/>
    </row>
    <row r="46" s="429" customFormat="true" ht="13.8" hidden="false" customHeight="false" outlineLevel="0" collapsed="false">
      <c r="B46" s="437" t="s">
        <v>995</v>
      </c>
      <c r="C46" s="430"/>
      <c r="D46" s="429" t="n">
        <v>41.71</v>
      </c>
      <c r="E46" s="429" t="s">
        <v>90</v>
      </c>
      <c r="H46" s="0"/>
      <c r="I46" s="0"/>
      <c r="J46" s="0"/>
      <c r="K46" s="0"/>
      <c r="L46" s="0"/>
    </row>
    <row r="47" s="429" customFormat="true" ht="13.8" hidden="false" customHeight="false" outlineLevel="0" collapsed="false">
      <c r="B47" s="430" t="s">
        <v>1048</v>
      </c>
      <c r="D47" s="435" t="n">
        <v>96.15</v>
      </c>
      <c r="E47" s="429" t="s">
        <v>90</v>
      </c>
      <c r="H47" s="0"/>
      <c r="I47" s="0"/>
      <c r="J47" s="0"/>
      <c r="K47" s="0"/>
      <c r="L47" s="0"/>
    </row>
    <row r="48" customFormat="false" ht="25.35" hidden="false" customHeight="false" outlineLevel="0" collapsed="false">
      <c r="B48" s="437" t="s">
        <v>1051</v>
      </c>
      <c r="D48" s="427" t="n">
        <v>1.94</v>
      </c>
      <c r="E48" s="427" t="s">
        <v>90</v>
      </c>
    </row>
    <row r="49" s="429" customFormat="true" ht="13.8" hidden="false" customHeight="false" outlineLevel="0" collapsed="false">
      <c r="B49" s="430" t="s">
        <v>1056</v>
      </c>
      <c r="D49" s="429" t="n">
        <v>90.97</v>
      </c>
      <c r="E49" s="429" t="s">
        <v>90</v>
      </c>
      <c r="H49" s="0"/>
      <c r="I49" s="0"/>
      <c r="J49" s="0"/>
      <c r="K49" s="0"/>
      <c r="L49" s="0"/>
    </row>
    <row r="50" s="429" customFormat="true" ht="37.3" hidden="false" customHeight="false" outlineLevel="0" collapsed="false">
      <c r="B50" s="438" t="s">
        <v>1007</v>
      </c>
      <c r="C50" s="430" t="s">
        <v>1089</v>
      </c>
      <c r="D50" s="429" t="n">
        <v>129.04</v>
      </c>
      <c r="E50" s="429" t="s">
        <v>334</v>
      </c>
      <c r="H50" s="0"/>
      <c r="I50" s="0"/>
      <c r="J50" s="0"/>
      <c r="K50" s="0"/>
      <c r="L50" s="0"/>
    </row>
    <row r="51" s="429" customFormat="true" ht="13.8" hidden="false" customHeight="false" outlineLevel="0" collapsed="false">
      <c r="B51" s="438"/>
      <c r="C51" s="430"/>
      <c r="H51" s="0"/>
      <c r="I51" s="0"/>
      <c r="J51" s="0"/>
      <c r="K51" s="0"/>
      <c r="L51" s="0"/>
    </row>
    <row r="52" s="431" customFormat="true" ht="13.8" hidden="false" customHeight="false" outlineLevel="0" collapsed="false">
      <c r="B52" s="432" t="s">
        <v>1090</v>
      </c>
      <c r="C52" s="433"/>
      <c r="H52" s="0"/>
      <c r="I52" s="0"/>
      <c r="J52" s="0"/>
      <c r="K52" s="0"/>
      <c r="L52" s="0"/>
    </row>
    <row r="53" s="429" customFormat="true" ht="61.15" hidden="false" customHeight="false" outlineLevel="0" collapsed="false">
      <c r="B53" s="416" t="s">
        <v>1000</v>
      </c>
      <c r="C53" s="430" t="s">
        <v>1091</v>
      </c>
      <c r="D53" s="429" t="n">
        <v>1.54</v>
      </c>
      <c r="E53" s="429" t="s">
        <v>725</v>
      </c>
      <c r="H53" s="0"/>
      <c r="I53" s="0"/>
      <c r="J53" s="0"/>
      <c r="K53" s="0"/>
      <c r="L53" s="0"/>
    </row>
    <row r="54" s="429" customFormat="true" ht="73.1" hidden="false" customHeight="false" outlineLevel="0" collapsed="false">
      <c r="B54" s="416" t="s">
        <v>1044</v>
      </c>
      <c r="C54" s="430" t="s">
        <v>1092</v>
      </c>
      <c r="D54" s="429" t="n">
        <v>1.81</v>
      </c>
      <c r="E54" s="429" t="s">
        <v>725</v>
      </c>
      <c r="H54" s="0"/>
      <c r="I54" s="0"/>
      <c r="J54" s="0"/>
      <c r="K54" s="0"/>
      <c r="L54" s="0"/>
    </row>
    <row r="55" s="429" customFormat="true" ht="61.15" hidden="false" customHeight="false" outlineLevel="0" collapsed="false">
      <c r="B55" s="416" t="s">
        <v>1037</v>
      </c>
      <c r="C55" s="430" t="s">
        <v>1093</v>
      </c>
      <c r="D55" s="429" t="n">
        <v>1.66</v>
      </c>
      <c r="E55" s="429" t="s">
        <v>725</v>
      </c>
      <c r="H55" s="0"/>
      <c r="I55" s="0"/>
      <c r="J55" s="0"/>
      <c r="K55" s="0"/>
      <c r="L55" s="0"/>
    </row>
    <row r="56" s="429" customFormat="true" ht="25.35" hidden="false" customHeight="false" outlineLevel="0" collapsed="false">
      <c r="B56" s="416" t="s">
        <v>1008</v>
      </c>
      <c r="C56" s="430" t="s">
        <v>1094</v>
      </c>
      <c r="D56" s="429" t="n">
        <v>9.66</v>
      </c>
      <c r="E56" s="429" t="s">
        <v>1095</v>
      </c>
      <c r="H56" s="0"/>
      <c r="I56" s="0"/>
      <c r="J56" s="0"/>
      <c r="K56" s="0"/>
      <c r="L56" s="0"/>
    </row>
    <row r="57" s="429" customFormat="true" ht="13.8" hidden="false" customHeight="false" outlineLevel="0" collapsed="false">
      <c r="B57" s="416" t="s">
        <v>1009</v>
      </c>
      <c r="C57" s="430"/>
      <c r="D57" s="429" t="n">
        <v>1.5</v>
      </c>
      <c r="E57" s="429" t="s">
        <v>18</v>
      </c>
      <c r="H57" s="0"/>
      <c r="I57" s="0"/>
      <c r="J57" s="0"/>
      <c r="K57" s="0"/>
      <c r="L57" s="0"/>
    </row>
    <row r="58" s="429" customFormat="true" ht="25.35" hidden="false" customHeight="false" outlineLevel="0" collapsed="false">
      <c r="B58" s="416" t="s">
        <v>1012</v>
      </c>
      <c r="C58" s="430" t="s">
        <v>1096</v>
      </c>
      <c r="D58" s="429" t="n">
        <v>22.39</v>
      </c>
      <c r="E58" s="429" t="s">
        <v>18</v>
      </c>
      <c r="H58" s="0"/>
      <c r="I58" s="0"/>
      <c r="J58" s="0"/>
      <c r="K58" s="0"/>
      <c r="L58" s="0"/>
    </row>
    <row r="59" s="429" customFormat="true" ht="37.3" hidden="false" customHeight="false" outlineLevel="0" collapsed="false">
      <c r="B59" s="416" t="s">
        <v>1013</v>
      </c>
      <c r="C59" s="430" t="s">
        <v>1097</v>
      </c>
      <c r="D59" s="429" t="n">
        <v>0.57</v>
      </c>
      <c r="E59" s="429" t="s">
        <v>31</v>
      </c>
      <c r="H59" s="0"/>
      <c r="I59" s="0"/>
      <c r="J59" s="0"/>
      <c r="K59" s="0"/>
      <c r="L59" s="0"/>
    </row>
    <row r="60" s="429" customFormat="true" ht="25.35" hidden="false" customHeight="false" outlineLevel="0" collapsed="false">
      <c r="B60" s="430" t="s">
        <v>1014</v>
      </c>
      <c r="C60" s="430" t="s">
        <v>1098</v>
      </c>
      <c r="D60" s="429" t="n">
        <v>2.52</v>
      </c>
      <c r="E60" s="429" t="s">
        <v>31</v>
      </c>
      <c r="H60" s="0"/>
      <c r="I60" s="0"/>
      <c r="J60" s="0"/>
      <c r="K60" s="0"/>
      <c r="L60" s="0"/>
    </row>
    <row r="61" s="429" customFormat="true" ht="13.8" hidden="false" customHeight="false" outlineLevel="0" collapsed="false">
      <c r="B61" s="430" t="s">
        <v>996</v>
      </c>
      <c r="C61" s="430"/>
      <c r="D61" s="429" t="n">
        <v>92.2</v>
      </c>
      <c r="E61" s="429" t="s">
        <v>18</v>
      </c>
      <c r="H61" s="0"/>
      <c r="I61" s="0"/>
      <c r="J61" s="0"/>
      <c r="K61" s="0"/>
      <c r="L61" s="0"/>
    </row>
    <row r="62" s="429" customFormat="true" ht="37.3" hidden="false" customHeight="false" outlineLevel="0" collapsed="false">
      <c r="B62" s="416" t="s">
        <v>1050</v>
      </c>
      <c r="C62" s="430" t="s">
        <v>1099</v>
      </c>
      <c r="D62" s="429" t="n">
        <v>115.3</v>
      </c>
      <c r="E62" s="429" t="s">
        <v>18</v>
      </c>
      <c r="H62" s="0"/>
      <c r="I62" s="0"/>
      <c r="J62" s="0"/>
      <c r="K62" s="0"/>
      <c r="L62" s="0"/>
    </row>
    <row r="63" s="429" customFormat="true" ht="25.35" hidden="false" customHeight="false" outlineLevel="0" collapsed="false">
      <c r="B63" s="416" t="s">
        <v>1100</v>
      </c>
      <c r="C63" s="430" t="s">
        <v>1101</v>
      </c>
      <c r="D63" s="429" t="n">
        <v>0.35</v>
      </c>
      <c r="E63" s="429" t="s">
        <v>725</v>
      </c>
      <c r="H63" s="0"/>
      <c r="I63" s="0"/>
      <c r="J63" s="0"/>
      <c r="K63" s="0"/>
      <c r="L63" s="0"/>
    </row>
    <row r="64" s="439" customFormat="true" ht="25.35" hidden="false" customHeight="false" outlineLevel="0" collapsed="false">
      <c r="B64" s="440" t="s">
        <v>1063</v>
      </c>
      <c r="C64" s="441" t="s">
        <v>1102</v>
      </c>
      <c r="D64" s="442" t="n">
        <v>42.55</v>
      </c>
      <c r="E64" s="439" t="s">
        <v>18</v>
      </c>
      <c r="H64" s="0"/>
      <c r="I64" s="0"/>
      <c r="J64" s="0"/>
      <c r="K64" s="0"/>
      <c r="L64" s="0"/>
    </row>
    <row r="65" s="439" customFormat="true" ht="13.8" hidden="false" customHeight="false" outlineLevel="0" collapsed="false">
      <c r="B65" s="440" t="s">
        <v>1062</v>
      </c>
      <c r="C65" s="441" t="s">
        <v>1103</v>
      </c>
      <c r="D65" s="442" t="n">
        <v>40.63</v>
      </c>
      <c r="E65" s="439" t="s">
        <v>18</v>
      </c>
      <c r="H65" s="0"/>
      <c r="I65" s="0"/>
      <c r="J65" s="0"/>
      <c r="K65" s="0"/>
      <c r="L65" s="0"/>
    </row>
    <row r="66" s="439" customFormat="true" ht="37.3" hidden="false" customHeight="false" outlineLevel="0" collapsed="false">
      <c r="B66" s="440" t="s">
        <v>1055</v>
      </c>
      <c r="C66" s="443" t="s">
        <v>1104</v>
      </c>
      <c r="D66" s="442" t="n">
        <v>22.5</v>
      </c>
      <c r="E66" s="439" t="s">
        <v>18</v>
      </c>
      <c r="H66" s="0"/>
      <c r="I66" s="0"/>
      <c r="J66" s="0"/>
      <c r="K66" s="0"/>
      <c r="L66" s="0"/>
    </row>
    <row r="67" s="439" customFormat="true" ht="25.35" hidden="false" customHeight="false" outlineLevel="0" collapsed="false">
      <c r="B67" s="440" t="s">
        <v>219</v>
      </c>
      <c r="C67" s="444" t="s">
        <v>1105</v>
      </c>
      <c r="D67" s="442" t="n">
        <v>36</v>
      </c>
      <c r="E67" s="439" t="s">
        <v>18</v>
      </c>
      <c r="H67" s="0"/>
      <c r="I67" s="0"/>
      <c r="J67" s="0"/>
      <c r="K67" s="0"/>
      <c r="L67" s="0"/>
    </row>
    <row r="68" s="439" customFormat="true" ht="37.3" hidden="false" customHeight="false" outlineLevel="0" collapsed="false">
      <c r="B68" s="440" t="s">
        <v>1106</v>
      </c>
      <c r="C68" s="444" t="s">
        <v>1107</v>
      </c>
      <c r="D68" s="442" t="n">
        <v>105.33</v>
      </c>
      <c r="E68" s="439" t="s">
        <v>18</v>
      </c>
      <c r="H68" s="0"/>
      <c r="I68" s="0"/>
      <c r="J68" s="0"/>
      <c r="K68" s="0"/>
      <c r="L68" s="0"/>
    </row>
    <row r="69" s="429" customFormat="true" ht="73.1" hidden="false" customHeight="false" outlineLevel="0" collapsed="false">
      <c r="B69" s="416" t="s">
        <v>1019</v>
      </c>
      <c r="C69" s="430" t="s">
        <v>1108</v>
      </c>
      <c r="D69" s="429" t="n">
        <v>18.35</v>
      </c>
      <c r="E69" s="429" t="s">
        <v>31</v>
      </c>
      <c r="H69" s="0"/>
      <c r="I69" s="0"/>
      <c r="J69" s="0"/>
      <c r="K69" s="0"/>
      <c r="L69" s="0"/>
    </row>
    <row r="70" s="429" customFormat="true" ht="61.15" hidden="false" customHeight="false" outlineLevel="0" collapsed="false">
      <c r="B70" s="416" t="s">
        <v>1049</v>
      </c>
      <c r="C70" s="430" t="s">
        <v>1109</v>
      </c>
      <c r="D70" s="429" t="n">
        <v>0.91</v>
      </c>
      <c r="E70" s="429" t="s">
        <v>334</v>
      </c>
      <c r="H70" s="0"/>
      <c r="I70" s="0"/>
      <c r="J70" s="0"/>
      <c r="K70" s="0"/>
      <c r="L70" s="0"/>
    </row>
    <row r="71" s="429" customFormat="true" ht="37.3" hidden="false" customHeight="false" outlineLevel="0" collapsed="false">
      <c r="B71" s="416" t="s">
        <v>1022</v>
      </c>
      <c r="C71" s="430" t="s">
        <v>1110</v>
      </c>
      <c r="D71" s="429" t="n">
        <v>50.2</v>
      </c>
      <c r="E71" s="429" t="s">
        <v>1095</v>
      </c>
      <c r="H71" s="0"/>
      <c r="I71" s="0"/>
      <c r="J71" s="0"/>
      <c r="K71" s="0"/>
      <c r="L71" s="0"/>
    </row>
    <row r="72" s="429" customFormat="true" ht="37.3" hidden="false" customHeight="false" outlineLevel="0" collapsed="false">
      <c r="B72" s="416" t="s">
        <v>997</v>
      </c>
      <c r="C72" s="430" t="s">
        <v>1111</v>
      </c>
      <c r="D72" s="429" t="n">
        <v>1.6</v>
      </c>
      <c r="E72" s="429" t="s">
        <v>725</v>
      </c>
      <c r="H72" s="0"/>
      <c r="I72" s="0"/>
      <c r="J72" s="0"/>
      <c r="K72" s="0"/>
      <c r="L72" s="0"/>
    </row>
    <row r="73" s="429" customFormat="true" ht="25.35" hidden="false" customHeight="false" outlineLevel="0" collapsed="false">
      <c r="B73" s="416" t="s">
        <v>1112</v>
      </c>
      <c r="C73" s="430" t="s">
        <v>1113</v>
      </c>
      <c r="D73" s="429" t="n">
        <v>0.1</v>
      </c>
      <c r="E73" s="429" t="s">
        <v>725</v>
      </c>
      <c r="H73" s="0"/>
      <c r="I73" s="0"/>
      <c r="J73" s="0"/>
      <c r="K73" s="0"/>
      <c r="L73" s="0"/>
    </row>
    <row r="74" s="429" customFormat="true" ht="97" hidden="false" customHeight="false" outlineLevel="0" collapsed="false">
      <c r="B74" s="437" t="s">
        <v>1025</v>
      </c>
      <c r="C74" s="430" t="s">
        <v>1114</v>
      </c>
      <c r="D74" s="429" t="n">
        <v>5.15</v>
      </c>
      <c r="E74" s="429" t="s">
        <v>725</v>
      </c>
      <c r="H74" s="0"/>
      <c r="I74" s="0"/>
      <c r="J74" s="0"/>
      <c r="K74" s="0"/>
      <c r="L74" s="0"/>
    </row>
    <row r="75" s="429" customFormat="true" ht="37.3" hidden="false" customHeight="false" outlineLevel="0" collapsed="false">
      <c r="B75" s="416" t="s">
        <v>1115</v>
      </c>
      <c r="C75" s="430" t="s">
        <v>1116</v>
      </c>
      <c r="D75" s="429" t="n">
        <v>0.37</v>
      </c>
      <c r="E75" s="429" t="s">
        <v>725</v>
      </c>
      <c r="H75" s="0"/>
      <c r="I75" s="0"/>
      <c r="J75" s="0"/>
      <c r="K75" s="0"/>
      <c r="L75" s="0"/>
    </row>
    <row r="76" s="429" customFormat="true" ht="168.65" hidden="false" customHeight="false" outlineLevel="0" collapsed="false">
      <c r="B76" s="416" t="s">
        <v>1027</v>
      </c>
      <c r="C76" s="430" t="s">
        <v>1117</v>
      </c>
      <c r="D76" s="429" t="n">
        <v>51.65</v>
      </c>
      <c r="E76" s="429" t="s">
        <v>31</v>
      </c>
      <c r="H76" s="0"/>
      <c r="I76" s="0"/>
      <c r="J76" s="0"/>
      <c r="K76" s="0"/>
      <c r="L76" s="0"/>
    </row>
    <row r="77" s="429" customFormat="true" ht="25.35" hidden="false" customHeight="false" outlineLevel="0" collapsed="false">
      <c r="B77" s="416" t="s">
        <v>1028</v>
      </c>
      <c r="C77" s="430" t="s">
        <v>1118</v>
      </c>
      <c r="D77" s="429" t="n">
        <v>14.55</v>
      </c>
      <c r="E77" s="429" t="s">
        <v>334</v>
      </c>
      <c r="H77" s="0"/>
      <c r="I77" s="0"/>
      <c r="J77" s="0"/>
      <c r="K77" s="0"/>
      <c r="L77" s="0"/>
    </row>
    <row r="78" s="429" customFormat="true" ht="61.15" hidden="false" customHeight="false" outlineLevel="0" collapsed="false">
      <c r="B78" s="416" t="s">
        <v>1031</v>
      </c>
      <c r="C78" s="430" t="s">
        <v>1119</v>
      </c>
      <c r="D78" s="429" t="n">
        <v>10.53</v>
      </c>
      <c r="E78" s="429" t="s">
        <v>25</v>
      </c>
      <c r="H78" s="0"/>
      <c r="I78" s="0"/>
      <c r="J78" s="0"/>
      <c r="K78" s="0"/>
      <c r="L78" s="0"/>
    </row>
    <row r="79" s="429" customFormat="true" ht="49.25" hidden="false" customHeight="false" outlineLevel="0" collapsed="false">
      <c r="B79" s="416" t="s">
        <v>1034</v>
      </c>
      <c r="C79" s="430" t="s">
        <v>1120</v>
      </c>
      <c r="D79" s="435" t="n">
        <v>24.67</v>
      </c>
      <c r="E79" s="429" t="s">
        <v>25</v>
      </c>
      <c r="H79" s="0"/>
      <c r="I79" s="0"/>
      <c r="J79" s="0"/>
      <c r="K79" s="0"/>
      <c r="L79" s="0"/>
    </row>
    <row r="80" customFormat="false" ht="49.25" hidden="false" customHeight="false" outlineLevel="0" collapsed="false">
      <c r="B80" s="417" t="s">
        <v>162</v>
      </c>
      <c r="C80" s="445" t="s">
        <v>1121</v>
      </c>
      <c r="D80" s="446" t="n">
        <v>141.08</v>
      </c>
      <c r="E80" s="427" t="s">
        <v>334</v>
      </c>
    </row>
    <row r="81" customFormat="false" ht="13.8" hidden="false" customHeight="false" outlineLevel="0" collapsed="false">
      <c r="B81" s="417" t="s">
        <v>1041</v>
      </c>
      <c r="D81" s="427" t="n">
        <v>24.22</v>
      </c>
      <c r="E81" s="427" t="s">
        <v>334</v>
      </c>
    </row>
    <row r="82" customFormat="false" ht="13.8" hidden="false" customHeight="false" outlineLevel="0" collapsed="false">
      <c r="B82" s="437" t="s">
        <v>1040</v>
      </c>
      <c r="D82" s="427" t="n">
        <v>19.5</v>
      </c>
      <c r="E82" s="427" t="s">
        <v>334</v>
      </c>
    </row>
    <row r="83" customFormat="false" ht="49.25" hidden="false" customHeight="false" outlineLevel="0" collapsed="false">
      <c r="B83" s="417" t="s">
        <v>1122</v>
      </c>
      <c r="C83" s="430" t="s">
        <v>1123</v>
      </c>
      <c r="D83" s="427" t="n">
        <v>10.24</v>
      </c>
      <c r="E83" s="427" t="s">
        <v>725</v>
      </c>
    </row>
    <row r="84" customFormat="false" ht="25.35" hidden="false" customHeight="false" outlineLevel="0" collapsed="false">
      <c r="B84" s="417" t="s">
        <v>1063</v>
      </c>
      <c r="C84" s="437" t="s">
        <v>1102</v>
      </c>
      <c r="D84" s="427" t="n">
        <v>51.06</v>
      </c>
      <c r="E84" s="427" t="s">
        <v>18</v>
      </c>
    </row>
    <row r="85" customFormat="false" ht="13.8" hidden="false" customHeight="false" outlineLevel="0" collapsed="false">
      <c r="B85" s="417" t="s">
        <v>1062</v>
      </c>
      <c r="C85" s="437" t="s">
        <v>1103</v>
      </c>
      <c r="D85" s="427" t="n">
        <v>40.63</v>
      </c>
      <c r="E85" s="427" t="s">
        <v>18</v>
      </c>
    </row>
    <row r="86" customFormat="false" ht="37.3" hidden="false" customHeight="false" outlineLevel="0" collapsed="false">
      <c r="B86" s="417" t="s">
        <v>1055</v>
      </c>
      <c r="C86" s="428" t="s">
        <v>1104</v>
      </c>
      <c r="D86" s="427" t="n">
        <v>22.5</v>
      </c>
      <c r="E86" s="427" t="s">
        <v>18</v>
      </c>
    </row>
    <row r="87" customFormat="false" ht="25.35" hidden="false" customHeight="false" outlineLevel="0" collapsed="false">
      <c r="B87" s="417" t="s">
        <v>219</v>
      </c>
      <c r="C87" s="447" t="s">
        <v>1105</v>
      </c>
      <c r="D87" s="427" t="n">
        <v>72</v>
      </c>
      <c r="E87" s="427" t="s">
        <v>18</v>
      </c>
    </row>
    <row r="88" customFormat="false" ht="25.35" hidden="false" customHeight="false" outlineLevel="0" collapsed="false">
      <c r="B88" s="417" t="s">
        <v>1065</v>
      </c>
      <c r="C88" s="428" t="s">
        <v>1124</v>
      </c>
      <c r="D88" s="448" t="n">
        <v>124.3</v>
      </c>
      <c r="E88" s="427" t="s">
        <v>10</v>
      </c>
    </row>
    <row r="89" customFormat="false" ht="25.35" hidden="false" customHeight="false" outlineLevel="0" collapsed="false">
      <c r="B89" s="417" t="s">
        <v>1073</v>
      </c>
      <c r="C89" s="428" t="s">
        <v>1125</v>
      </c>
      <c r="D89" s="448" t="n">
        <v>49</v>
      </c>
      <c r="E89" s="427" t="s">
        <v>10</v>
      </c>
    </row>
    <row r="90" customFormat="false" ht="25.35" hidden="false" customHeight="false" outlineLevel="0" collapsed="false">
      <c r="B90" s="417" t="s">
        <v>1074</v>
      </c>
      <c r="C90" s="428" t="s">
        <v>1126</v>
      </c>
      <c r="D90" s="448" t="n">
        <v>20</v>
      </c>
      <c r="E90" s="427" t="s">
        <v>10</v>
      </c>
    </row>
    <row r="91" customFormat="false" ht="25.35" hidden="false" customHeight="false" outlineLevel="0" collapsed="false">
      <c r="B91" s="417" t="s">
        <v>1075</v>
      </c>
      <c r="C91" s="428" t="s">
        <v>1127</v>
      </c>
      <c r="D91" s="448" t="n">
        <v>74.75</v>
      </c>
      <c r="E91" s="427" t="s">
        <v>31</v>
      </c>
    </row>
    <row r="92" s="429" customFormat="true" ht="97" hidden="false" customHeight="false" outlineLevel="0" collapsed="false">
      <c r="B92" s="416" t="s">
        <v>760</v>
      </c>
      <c r="C92" s="430" t="s">
        <v>761</v>
      </c>
      <c r="D92" s="449" t="n">
        <v>18.35</v>
      </c>
      <c r="E92" s="429" t="s">
        <v>25</v>
      </c>
      <c r="H92" s="0"/>
      <c r="I92" s="0"/>
      <c r="J92" s="0"/>
      <c r="K92" s="0"/>
      <c r="L92" s="0"/>
    </row>
    <row r="93" s="429" customFormat="true" ht="25.35" hidden="false" customHeight="false" outlineLevel="0" collapsed="false">
      <c r="B93" s="416" t="s">
        <v>767</v>
      </c>
      <c r="C93" s="430" t="s">
        <v>1128</v>
      </c>
      <c r="D93" s="449" t="n">
        <v>77.45</v>
      </c>
      <c r="E93" s="429" t="s">
        <v>10</v>
      </c>
      <c r="H93" s="0"/>
      <c r="I93" s="0"/>
      <c r="J93" s="0"/>
      <c r="K93" s="0"/>
      <c r="L93" s="0"/>
    </row>
    <row r="94" s="439" customFormat="true" ht="25.35" hidden="false" customHeight="false" outlineLevel="0" collapsed="false">
      <c r="B94" s="440" t="s">
        <v>1129</v>
      </c>
      <c r="C94" s="443" t="s">
        <v>1130</v>
      </c>
      <c r="D94" s="442" t="n">
        <v>120</v>
      </c>
      <c r="E94" s="439" t="s">
        <v>10</v>
      </c>
      <c r="H94" s="0"/>
      <c r="I94" s="0"/>
      <c r="J94" s="0"/>
      <c r="K94" s="0"/>
      <c r="L94" s="0"/>
    </row>
    <row r="95" s="439" customFormat="true" ht="13.8" hidden="false" customHeight="false" outlineLevel="0" collapsed="false">
      <c r="B95" s="440" t="s">
        <v>1046</v>
      </c>
      <c r="C95" s="443"/>
      <c r="D95" s="442" t="n">
        <v>20</v>
      </c>
      <c r="E95" s="439" t="s">
        <v>725</v>
      </c>
      <c r="H95" s="0"/>
      <c r="I95" s="0"/>
      <c r="J95" s="0"/>
      <c r="K95" s="0"/>
      <c r="L95" s="0"/>
    </row>
    <row r="96" customFormat="false" ht="25.35" hidden="false" customHeight="false" outlineLevel="0" collapsed="false">
      <c r="B96" s="417" t="s">
        <v>1052</v>
      </c>
      <c r="C96" s="428" t="s">
        <v>1131</v>
      </c>
      <c r="D96" s="448" t="n">
        <f aca="false">2.43*1.15</f>
        <v>2.7945</v>
      </c>
      <c r="E96" s="427" t="s">
        <v>25</v>
      </c>
    </row>
    <row r="97" customFormat="false" ht="25.35" hidden="false" customHeight="false" outlineLevel="0" collapsed="false">
      <c r="B97" s="417" t="s">
        <v>1045</v>
      </c>
      <c r="C97" s="428" t="s">
        <v>1132</v>
      </c>
      <c r="D97" s="448" t="n">
        <f aca="false">4.52*1.15</f>
        <v>5.198</v>
      </c>
      <c r="E97" s="427" t="s">
        <v>25</v>
      </c>
    </row>
    <row r="98" customFormat="false" ht="25.35" hidden="false" customHeight="false" outlineLevel="0" collapsed="false">
      <c r="B98" s="417" t="s">
        <v>1053</v>
      </c>
      <c r="C98" s="428" t="s">
        <v>1133</v>
      </c>
      <c r="D98" s="448" t="n">
        <f aca="false">1.36*1.15</f>
        <v>1.564</v>
      </c>
      <c r="E98" s="427" t="s">
        <v>25</v>
      </c>
    </row>
    <row r="99" customFormat="false" ht="25.35" hidden="false" customHeight="false" outlineLevel="0" collapsed="false">
      <c r="B99" s="417" t="s">
        <v>1054</v>
      </c>
      <c r="C99" s="428" t="s">
        <v>1134</v>
      </c>
      <c r="D99" s="448" t="n">
        <f aca="false">3.54*1.15</f>
        <v>4.071</v>
      </c>
      <c r="E99" s="427" t="s">
        <v>25</v>
      </c>
    </row>
    <row r="100" customFormat="false" ht="25.35" hidden="false" customHeight="false" outlineLevel="0" collapsed="false">
      <c r="B100" s="417" t="s">
        <v>1058</v>
      </c>
      <c r="C100" s="428" t="s">
        <v>1135</v>
      </c>
      <c r="D100" s="448" t="n">
        <v>5.02</v>
      </c>
      <c r="E100" s="427" t="s">
        <v>25</v>
      </c>
    </row>
    <row r="101" customFormat="false" ht="25.35" hidden="false" customHeight="false" outlineLevel="0" collapsed="false">
      <c r="B101" s="417" t="s">
        <v>240</v>
      </c>
      <c r="C101" s="417" t="s">
        <v>1136</v>
      </c>
      <c r="D101" s="448" t="n">
        <f aca="false">11.2*1.15</f>
        <v>12.88</v>
      </c>
      <c r="E101" s="427" t="s">
        <v>25</v>
      </c>
    </row>
    <row r="102" customFormat="false" ht="25.35" hidden="false" customHeight="false" outlineLevel="0" collapsed="false">
      <c r="B102" s="417" t="s">
        <v>1057</v>
      </c>
      <c r="C102" s="417" t="s">
        <v>1137</v>
      </c>
      <c r="D102" s="448" t="n">
        <v>45.79</v>
      </c>
      <c r="E102" s="427" t="s">
        <v>31</v>
      </c>
    </row>
    <row r="103" customFormat="false" ht="37.3" hidden="false" customHeight="false" outlineLevel="0" collapsed="false">
      <c r="B103" s="417" t="s">
        <v>1060</v>
      </c>
      <c r="C103" s="428" t="s">
        <v>1138</v>
      </c>
      <c r="D103" s="448" t="n">
        <f aca="false">433.29*1.15</f>
        <v>498.2835</v>
      </c>
      <c r="E103" s="427" t="s">
        <v>10</v>
      </c>
    </row>
    <row r="104" customFormat="false" ht="49.25" hidden="false" customHeight="false" outlineLevel="0" collapsed="false">
      <c r="B104" s="417" t="s">
        <v>1061</v>
      </c>
      <c r="C104" s="450" t="s">
        <v>1139</v>
      </c>
      <c r="D104" s="448" t="n">
        <f aca="false">28*1.3</f>
        <v>36.4</v>
      </c>
      <c r="E104" s="427" t="s">
        <v>25</v>
      </c>
    </row>
    <row r="105" customFormat="false" ht="13.8" hidden="false" customHeight="false" outlineLevel="0" collapsed="false">
      <c r="B105" s="417" t="s">
        <v>1066</v>
      </c>
      <c r="C105" s="450" t="s">
        <v>1140</v>
      </c>
      <c r="D105" s="448" t="n">
        <f aca="false">95*1.3</f>
        <v>123.5</v>
      </c>
      <c r="E105" s="427" t="s">
        <v>10</v>
      </c>
    </row>
    <row r="106" customFormat="false" ht="25.35" hidden="false" customHeight="false" outlineLevel="0" collapsed="false">
      <c r="B106" s="417" t="s">
        <v>1064</v>
      </c>
      <c r="C106" s="428" t="s">
        <v>1141</v>
      </c>
      <c r="D106" s="448" t="n">
        <f aca="false">405*1.3</f>
        <v>526.5</v>
      </c>
      <c r="E106" s="427" t="s">
        <v>10</v>
      </c>
    </row>
    <row r="107" customFormat="false" ht="37.3" hidden="false" customHeight="false" outlineLevel="0" collapsed="false">
      <c r="B107" s="417" t="s">
        <v>585</v>
      </c>
      <c r="C107" s="428" t="s">
        <v>1142</v>
      </c>
      <c r="D107" s="448" t="n">
        <f aca="false">1015*1.25</f>
        <v>1268.75</v>
      </c>
      <c r="E107" s="427" t="s">
        <v>10</v>
      </c>
    </row>
    <row r="108" customFormat="false" ht="25.35" hidden="false" customHeight="false" outlineLevel="0" collapsed="false">
      <c r="B108" s="417" t="s">
        <v>1067</v>
      </c>
      <c r="C108" s="428" t="s">
        <v>1143</v>
      </c>
      <c r="D108" s="448" t="n">
        <f aca="false">1399*1.49</f>
        <v>2084.51</v>
      </c>
      <c r="E108" s="427" t="s">
        <v>10</v>
      </c>
    </row>
    <row r="109" customFormat="false" ht="13.8" hidden="false" customHeight="false" outlineLevel="0" collapsed="false">
      <c r="B109" s="417" t="s">
        <v>1068</v>
      </c>
      <c r="C109" s="428" t="s">
        <v>1144</v>
      </c>
      <c r="D109" s="448" t="n">
        <f aca="false">1125*1.88</f>
        <v>2115</v>
      </c>
      <c r="E109" s="427" t="s">
        <v>10</v>
      </c>
    </row>
    <row r="110" customFormat="false" ht="25.35" hidden="false" customHeight="false" outlineLevel="0" collapsed="false">
      <c r="B110" s="417" t="s">
        <v>1069</v>
      </c>
      <c r="C110" s="428" t="s">
        <v>318</v>
      </c>
      <c r="D110" s="448" t="n">
        <v>560</v>
      </c>
      <c r="E110" s="427" t="s">
        <v>10</v>
      </c>
    </row>
    <row r="111" customFormat="false" ht="25.35" hidden="false" customHeight="false" outlineLevel="0" collapsed="false">
      <c r="B111" s="417" t="s">
        <v>1070</v>
      </c>
      <c r="C111" s="428" t="s">
        <v>1145</v>
      </c>
      <c r="D111" s="448" t="n">
        <v>967.15</v>
      </c>
      <c r="E111" s="427" t="s">
        <v>10</v>
      </c>
    </row>
    <row r="112" customFormat="false" ht="25.35" hidden="false" customHeight="false" outlineLevel="0" collapsed="false">
      <c r="B112" s="417" t="s">
        <v>1071</v>
      </c>
      <c r="C112" s="428" t="s">
        <v>1146</v>
      </c>
      <c r="D112" s="448" t="n">
        <f aca="false">126*1.3</f>
        <v>163.8</v>
      </c>
      <c r="E112" s="427" t="s">
        <v>10</v>
      </c>
    </row>
    <row r="113" customFormat="false" ht="25.35" hidden="false" customHeight="false" outlineLevel="0" collapsed="false">
      <c r="B113" s="417" t="s">
        <v>1072</v>
      </c>
      <c r="C113" s="428" t="s">
        <v>1147</v>
      </c>
      <c r="D113" s="448" t="n">
        <v>527.08</v>
      </c>
      <c r="E113" s="427" t="s">
        <v>10</v>
      </c>
    </row>
    <row r="114" customFormat="false" ht="73.1" hidden="false" customHeight="false" outlineLevel="0" collapsed="false">
      <c r="B114" s="417" t="s">
        <v>1004</v>
      </c>
      <c r="C114" s="428" t="s">
        <v>1148</v>
      </c>
      <c r="D114" s="448" t="n">
        <v>13.28</v>
      </c>
      <c r="E114" s="427" t="s">
        <v>1149</v>
      </c>
    </row>
    <row r="115" customFormat="false" ht="13.8" hidden="false" customHeight="false" outlineLevel="0" collapsed="false">
      <c r="D115" s="448"/>
    </row>
    <row r="116" s="431" customFormat="true" ht="13.8" hidden="false" customHeight="false" outlineLevel="0" collapsed="false">
      <c r="B116" s="432" t="s">
        <v>1150</v>
      </c>
      <c r="C116" s="433"/>
      <c r="D116" s="451"/>
      <c r="H116" s="0"/>
      <c r="I116" s="0"/>
      <c r="J116" s="0"/>
      <c r="K116" s="0"/>
      <c r="L116" s="0"/>
    </row>
    <row r="117" customFormat="false" ht="37.3" hidden="false" customHeight="false" outlineLevel="0" collapsed="false">
      <c r="B117" s="417" t="s">
        <v>1076</v>
      </c>
      <c r="C117" s="428" t="s">
        <v>1151</v>
      </c>
      <c r="D117" s="448" t="n">
        <v>380</v>
      </c>
      <c r="E117" s="427" t="s">
        <v>10</v>
      </c>
    </row>
    <row r="118" customFormat="false" ht="13.8" hidden="false" customHeight="false" outlineLevel="0" collapsed="false">
      <c r="B118" s="417" t="s">
        <v>1080</v>
      </c>
      <c r="C118" s="428" t="s">
        <v>1152</v>
      </c>
      <c r="D118" s="448" t="n">
        <v>29</v>
      </c>
      <c r="E118" s="427" t="s">
        <v>10</v>
      </c>
    </row>
    <row r="119" customFormat="false" ht="25.35" hidden="false" customHeight="false" outlineLevel="0" collapsed="false">
      <c r="B119" s="417" t="s">
        <v>1078</v>
      </c>
      <c r="C119" s="428" t="s">
        <v>1153</v>
      </c>
      <c r="D119" s="448" t="n">
        <v>7.95</v>
      </c>
      <c r="E119" s="427" t="s">
        <v>10</v>
      </c>
    </row>
    <row r="120" customFormat="false" ht="25.35" hidden="false" customHeight="false" outlineLevel="0" collapsed="false">
      <c r="B120" s="417" t="s">
        <v>1079</v>
      </c>
      <c r="C120" s="428" t="s">
        <v>1154</v>
      </c>
      <c r="D120" s="448" t="n">
        <v>17.85</v>
      </c>
      <c r="E120" s="427" t="s">
        <v>10</v>
      </c>
    </row>
  </sheetData>
  <printOptions headings="false" gridLines="false" gridLinesSet="true" horizontalCentered="false" verticalCentered="false"/>
  <pageMargins left="0.7" right="0.7" top="0.75" bottom="0.75" header="0.511811023622047" footer="0.3"/>
  <pageSetup paperSize="9" scale="100" fitToWidth="1" fitToHeight="0" pageOrder="overThenDown" orientation="portrait" blackAndWhite="false" draft="false" cellComments="none" horizontalDpi="300" verticalDpi="300" copies="1"/>
  <headerFooter differentFirst="false" differentOddEven="false">
    <oddHeader/>
    <oddFooter>&amp;L&amp;"Swis721 Lt BT,Clar"&amp;8VALORACIÓ ECONÒMICA - ESCOLA BRESSOL MUNICIPAL ROCAFONDA&amp;C&amp;"Swis721 Lt BT,Clar"&amp;9&amp;Kdedede  ACCÉS</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54"/>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I4" activeCellId="0" sqref="I4"/>
    </sheetView>
  </sheetViews>
  <sheetFormatPr defaultColWidth="11.42578125" defaultRowHeight="13.8" customHeight="true" zeroHeight="false" outlineLevelRow="0" outlineLevelCol="0"/>
  <cols>
    <col collapsed="false" customWidth="true" hidden="true" outlineLevel="0" max="1" min="1" style="277" width="20.57"/>
    <col collapsed="false" customWidth="true" hidden="false" outlineLevel="0" max="2" min="2" style="277" width="5.42"/>
    <col collapsed="false" customWidth="true" hidden="false" outlineLevel="0" max="3" min="3" style="277" width="5"/>
    <col collapsed="false" customWidth="true" hidden="false" outlineLevel="0" max="4" min="4" style="278" width="49"/>
    <col collapsed="false" customWidth="true" hidden="false" outlineLevel="0" max="5" min="5" style="277" width="10.14"/>
    <col collapsed="false" customWidth="true" hidden="false" outlineLevel="0" max="6" min="6" style="277" width="4.57"/>
    <col collapsed="false" customWidth="true" hidden="false" outlineLevel="0" max="7" min="7" style="277" width="8.42"/>
    <col collapsed="false" customWidth="true" hidden="false" outlineLevel="0" max="8" min="8" style="279" width="12.86"/>
    <col collapsed="false" customWidth="true" hidden="false" outlineLevel="0" max="9" min="9" style="279" width="21.57"/>
    <col collapsed="false" customWidth="true" hidden="false" outlineLevel="0" max="10" min="10" style="277" width="20.85"/>
    <col collapsed="false" customWidth="false" hidden="false" outlineLevel="0" max="15" min="11" style="277" width="11.43"/>
    <col collapsed="false" customWidth="false" hidden="false" outlineLevel="0" max="16381" min="19" style="277" width="11.43"/>
    <col collapsed="false" customWidth="true" hidden="false" outlineLevel="0" max="16384" min="16382" style="277" width="11.53"/>
  </cols>
  <sheetData>
    <row r="1" s="457" customFormat="true" ht="13.8" hidden="false" customHeight="false" outlineLevel="0" collapsed="false">
      <c r="A1" s="396"/>
      <c r="B1" s="281" t="str">
        <f aca="false">PORTADA_PTO!A17</f>
        <v>VALORACIÓ ECONÒMICA</v>
      </c>
      <c r="C1" s="282"/>
      <c r="D1" s="283"/>
      <c r="E1" s="282"/>
      <c r="F1" s="282"/>
      <c r="G1" s="282"/>
      <c r="H1" s="452"/>
      <c r="I1" s="453"/>
      <c r="J1" s="454"/>
      <c r="K1" s="455"/>
      <c r="L1" s="455"/>
      <c r="M1" s="455"/>
      <c r="N1" s="456"/>
      <c r="O1" s="456"/>
      <c r="P1" s="0"/>
      <c r="Q1" s="0"/>
      <c r="R1" s="0"/>
    </row>
    <row r="2" s="457" customFormat="true" ht="13.8" hidden="false" customHeight="false" outlineLevel="0" collapsed="false">
      <c r="A2" s="396"/>
      <c r="B2" s="458" t="str">
        <f aca="false">PORTADA_PTO!A18</f>
        <v>TRANSFORMACIÓ DELS ESPAIS EXTERIORS DE L’ESCOLA BRESSOL MUNICIPAL DE ROCAFONDA</v>
      </c>
      <c r="C2" s="289"/>
      <c r="D2" s="290"/>
      <c r="E2" s="289"/>
      <c r="F2" s="289"/>
      <c r="G2" s="289"/>
      <c r="H2" s="459"/>
      <c r="I2" s="460"/>
      <c r="J2" s="290"/>
      <c r="K2" s="289"/>
      <c r="L2" s="289"/>
      <c r="M2" s="289"/>
      <c r="N2" s="459"/>
      <c r="O2" s="279"/>
      <c r="P2" s="0"/>
      <c r="Q2" s="0"/>
      <c r="R2" s="0"/>
    </row>
    <row r="3" s="457" customFormat="true" ht="13.8" hidden="false" customHeight="false" outlineLevel="0" collapsed="false">
      <c r="A3" s="396"/>
      <c r="B3" s="293" t="str">
        <f aca="false">PORTADA_PTO!E14</f>
        <v>MATARÓ</v>
      </c>
      <c r="C3" s="289"/>
      <c r="D3" s="290"/>
      <c r="E3" s="289"/>
      <c r="F3" s="289"/>
      <c r="G3" s="289"/>
      <c r="H3" s="459"/>
      <c r="I3" s="460"/>
      <c r="J3" s="290"/>
      <c r="K3" s="289"/>
      <c r="L3" s="289"/>
      <c r="M3" s="289"/>
      <c r="N3" s="459"/>
      <c r="O3" s="279"/>
      <c r="P3" s="0"/>
      <c r="Q3" s="0"/>
      <c r="R3" s="0"/>
    </row>
    <row r="4" s="457" customFormat="true" ht="13.8" hidden="false" customHeight="false" outlineLevel="0" collapsed="false">
      <c r="A4" s="396"/>
      <c r="B4" s="294"/>
      <c r="C4" s="295"/>
      <c r="D4" s="296"/>
      <c r="E4" s="295"/>
      <c r="F4" s="295"/>
      <c r="G4" s="461"/>
      <c r="H4" s="461"/>
      <c r="I4" s="462" t="str">
        <f aca="false">PORTADA_PTO!E10</f>
        <v>Barcelona, 13 maig dimecres</v>
      </c>
      <c r="J4" s="301"/>
      <c r="K4" s="300"/>
      <c r="L4" s="300"/>
      <c r="M4" s="302"/>
      <c r="N4" s="463"/>
      <c r="O4" s="279"/>
      <c r="P4" s="0"/>
      <c r="Q4" s="0"/>
      <c r="R4" s="0"/>
    </row>
    <row r="5" s="457" customFormat="true" ht="13.8" hidden="false" customHeight="false" outlineLevel="0" collapsed="false">
      <c r="A5" s="396"/>
      <c r="B5" s="464"/>
      <c r="C5" s="465"/>
      <c r="D5" s="466"/>
      <c r="E5" s="465"/>
      <c r="F5" s="465"/>
      <c r="G5" s="467"/>
      <c r="H5" s="463"/>
      <c r="I5" s="279"/>
      <c r="P5" s="0"/>
      <c r="Q5" s="0"/>
      <c r="R5" s="0"/>
    </row>
    <row r="6" s="457" customFormat="true" ht="15" hidden="false" customHeight="false" outlineLevel="0" collapsed="false">
      <c r="A6" s="396"/>
      <c r="B6" s="468" t="s">
        <v>1155</v>
      </c>
      <c r="C6" s="389"/>
      <c r="D6" s="390"/>
      <c r="E6" s="389"/>
      <c r="F6" s="389"/>
      <c r="G6" s="391"/>
      <c r="H6" s="392"/>
      <c r="I6" s="469"/>
      <c r="J6" s="470"/>
      <c r="K6" s="470"/>
      <c r="P6" s="0"/>
      <c r="Q6" s="0"/>
      <c r="R6" s="0"/>
    </row>
    <row r="7" s="457" customFormat="true" ht="15" hidden="false" customHeight="false" outlineLevel="0" collapsed="false">
      <c r="A7" s="396"/>
      <c r="B7" s="388" t="s">
        <v>831</v>
      </c>
      <c r="C7" s="388"/>
      <c r="D7" s="390"/>
      <c r="E7" s="389"/>
      <c r="F7" s="389"/>
      <c r="G7" s="391"/>
      <c r="H7" s="392"/>
      <c r="I7" s="393"/>
      <c r="J7" s="471"/>
      <c r="K7" s="470"/>
      <c r="L7" s="287"/>
      <c r="M7" s="287"/>
      <c r="N7" s="287"/>
      <c r="O7" s="287"/>
      <c r="P7" s="0"/>
      <c r="Q7" s="0"/>
      <c r="R7" s="0"/>
    </row>
    <row r="8" customFormat="false" ht="17.35" hidden="false" customHeight="false" outlineLevel="0" collapsed="false">
      <c r="B8" s="472" t="str">
        <f aca="false">PATI!B6</f>
        <v>PATI</v>
      </c>
      <c r="C8" s="473"/>
      <c r="D8" s="474"/>
      <c r="E8" s="475"/>
      <c r="F8" s="475"/>
      <c r="G8" s="476"/>
      <c r="H8" s="477"/>
      <c r="I8" s="478" t="n">
        <f aca="false">SUM(I9:I13)</f>
        <v>90154.99227</v>
      </c>
      <c r="J8" s="479"/>
      <c r="K8" s="470"/>
      <c r="L8" s="287"/>
      <c r="M8" s="287"/>
      <c r="N8" s="287"/>
      <c r="O8" s="287"/>
    </row>
    <row r="9" customFormat="false" ht="15" hidden="false" customHeight="false" outlineLevel="0" collapsed="false">
      <c r="B9" s="388" t="s">
        <v>1156</v>
      </c>
      <c r="C9" s="355"/>
      <c r="D9" s="351"/>
      <c r="E9" s="352"/>
      <c r="F9" s="480"/>
      <c r="G9" s="363"/>
      <c r="H9" s="359"/>
      <c r="I9" s="360"/>
      <c r="J9" s="471"/>
      <c r="K9" s="470"/>
      <c r="L9" s="286"/>
      <c r="M9" s="286"/>
      <c r="N9" s="286"/>
      <c r="O9" s="286"/>
    </row>
    <row r="10" customFormat="false" ht="15" hidden="false" customHeight="false" outlineLevel="0" collapsed="false">
      <c r="B10" s="323"/>
      <c r="C10" s="323"/>
      <c r="D10" s="351"/>
      <c r="E10" s="352"/>
      <c r="F10" s="480"/>
      <c r="G10" s="363"/>
      <c r="H10" s="359"/>
      <c r="J10" s="471"/>
      <c r="K10" s="470"/>
    </row>
    <row r="11" customFormat="false" ht="15" hidden="false" customHeight="false" outlineLevel="0" collapsed="false">
      <c r="A11" s="329"/>
      <c r="B11" s="481"/>
      <c r="C11" s="481"/>
      <c r="D11" s="482" t="str">
        <f aca="false">PATI!B10</f>
        <v>1. FEINES PRÈVIES</v>
      </c>
      <c r="E11" s="483"/>
      <c r="F11" s="483"/>
      <c r="G11" s="484"/>
      <c r="H11" s="485"/>
      <c r="I11" s="486" t="n">
        <f aca="false">PATI!I10</f>
        <v>9663.42432</v>
      </c>
      <c r="J11" s="471"/>
      <c r="K11" s="487"/>
      <c r="L11" s="488"/>
      <c r="M11" s="489"/>
      <c r="N11" s="490"/>
      <c r="O11" s="491"/>
    </row>
    <row r="12" customFormat="false" ht="15" hidden="false" customHeight="false" outlineLevel="0" collapsed="false">
      <c r="B12" s="323"/>
      <c r="C12" s="323"/>
      <c r="D12" s="492" t="str">
        <f aca="false">PATI!B67</f>
        <v>2. PATI</v>
      </c>
      <c r="E12" s="493"/>
      <c r="F12" s="494"/>
      <c r="G12" s="495"/>
      <c r="H12" s="496"/>
      <c r="I12" s="497" t="n">
        <f aca="false">PATI!I67</f>
        <v>70919.951</v>
      </c>
      <c r="K12" s="470"/>
    </row>
    <row r="13" customFormat="false" ht="15" hidden="false" customHeight="false" outlineLevel="0" collapsed="false">
      <c r="B13" s="355"/>
      <c r="C13" s="355"/>
      <c r="D13" s="498" t="str">
        <f aca="false">PATI!B296</f>
        <v>3. VEGETACIÓ I REG</v>
      </c>
      <c r="E13" s="493"/>
      <c r="F13" s="494"/>
      <c r="G13" s="495"/>
      <c r="H13" s="496"/>
      <c r="I13" s="497" t="n">
        <f aca="false">PATI!I296</f>
        <v>9571.61695</v>
      </c>
      <c r="K13" s="470"/>
    </row>
    <row r="14" customFormat="false" ht="13.8" hidden="false" customHeight="false" outlineLevel="0" collapsed="false">
      <c r="B14" s="355"/>
      <c r="C14" s="355"/>
      <c r="D14" s="499"/>
      <c r="G14" s="343"/>
      <c r="H14" s="344"/>
      <c r="I14" s="345"/>
    </row>
    <row r="15" customFormat="false" ht="17.35" hidden="false" customHeight="false" outlineLevel="0" collapsed="false">
      <c r="B15" s="472" t="str">
        <f aca="false">ACCÉS!B7</f>
        <v>ACCÉS</v>
      </c>
      <c r="C15" s="473"/>
      <c r="D15" s="474"/>
      <c r="E15" s="475"/>
      <c r="F15" s="475"/>
      <c r="G15" s="476"/>
      <c r="H15" s="477"/>
      <c r="I15" s="478" t="n">
        <f aca="false">ACCÉS!I7</f>
        <v>19806.7352704</v>
      </c>
      <c r="J15" s="479"/>
      <c r="K15" s="470"/>
      <c r="L15" s="287"/>
      <c r="M15" s="287"/>
      <c r="N15" s="287"/>
      <c r="O15" s="287"/>
    </row>
    <row r="16" customFormat="false" ht="15" hidden="false" customHeight="false" outlineLevel="0" collapsed="false">
      <c r="B16" s="388" t="s">
        <v>1156</v>
      </c>
      <c r="C16" s="355"/>
      <c r="D16" s="351"/>
      <c r="E16" s="352"/>
      <c r="F16" s="480"/>
      <c r="G16" s="363"/>
      <c r="H16" s="359"/>
      <c r="I16" s="360"/>
      <c r="J16" s="471"/>
      <c r="K16" s="470"/>
      <c r="L16" s="286"/>
      <c r="M16" s="286"/>
      <c r="N16" s="286"/>
      <c r="O16" s="286"/>
    </row>
    <row r="17" customFormat="false" ht="15" hidden="false" customHeight="false" outlineLevel="0" collapsed="false">
      <c r="B17" s="323"/>
      <c r="C17" s="323"/>
      <c r="D17" s="351"/>
      <c r="E17" s="352"/>
      <c r="F17" s="480"/>
      <c r="G17" s="363"/>
      <c r="H17" s="359"/>
      <c r="J17" s="471"/>
      <c r="K17" s="470"/>
    </row>
    <row r="18" customFormat="false" ht="15" hidden="false" customHeight="false" outlineLevel="0" collapsed="false">
      <c r="B18" s="481"/>
      <c r="C18" s="481"/>
      <c r="D18" s="482" t="str">
        <f aca="false">ACCÉS!B11</f>
        <v>1. ACCÉS</v>
      </c>
      <c r="E18" s="483"/>
      <c r="F18" s="483"/>
      <c r="G18" s="484"/>
      <c r="H18" s="485"/>
      <c r="I18" s="486" t="n">
        <f aca="false">ACCÉS!I11</f>
        <v>19806.7352704</v>
      </c>
      <c r="J18" s="471"/>
      <c r="K18" s="487"/>
      <c r="L18" s="488"/>
      <c r="M18" s="489"/>
      <c r="N18" s="490"/>
      <c r="O18" s="491"/>
    </row>
    <row r="19" customFormat="false" ht="15" hidden="false" customHeight="false" outlineLevel="0" collapsed="false">
      <c r="B19" s="323"/>
      <c r="C19" s="323"/>
      <c r="D19" s="499"/>
      <c r="E19" s="500"/>
      <c r="F19" s="500"/>
      <c r="G19" s="369"/>
      <c r="H19" s="501"/>
      <c r="I19" s="344"/>
      <c r="K19" s="470"/>
    </row>
    <row r="20" customFormat="false" ht="17.35" hidden="false" customHeight="false" outlineLevel="0" collapsed="false">
      <c r="B20" s="472" t="str">
        <f aca="false">UMBRACLE!B7</f>
        <v>UMBRACLE</v>
      </c>
      <c r="C20" s="473"/>
      <c r="D20" s="474"/>
      <c r="E20" s="475"/>
      <c r="F20" s="475"/>
      <c r="G20" s="476"/>
      <c r="H20" s="477"/>
      <c r="I20" s="478" t="n">
        <f aca="false">UMBRACLE!I7</f>
        <v>27330.3024</v>
      </c>
      <c r="J20" s="479"/>
      <c r="K20" s="470"/>
      <c r="L20" s="287"/>
      <c r="M20" s="287"/>
      <c r="N20" s="287"/>
      <c r="O20" s="287"/>
    </row>
    <row r="21" customFormat="false" ht="15" hidden="false" customHeight="false" outlineLevel="0" collapsed="false">
      <c r="B21" s="388" t="s">
        <v>1156</v>
      </c>
      <c r="C21" s="355"/>
      <c r="D21" s="351"/>
      <c r="E21" s="352"/>
      <c r="F21" s="480"/>
      <c r="G21" s="363"/>
      <c r="H21" s="359"/>
      <c r="I21" s="360"/>
      <c r="J21" s="471"/>
      <c r="K21" s="470"/>
      <c r="L21" s="286"/>
      <c r="M21" s="286"/>
      <c r="N21" s="286"/>
      <c r="O21" s="286"/>
    </row>
    <row r="22" customFormat="false" ht="15" hidden="false" customHeight="false" outlineLevel="0" collapsed="false">
      <c r="B22" s="323"/>
      <c r="C22" s="323"/>
      <c r="D22" s="351"/>
      <c r="E22" s="352"/>
      <c r="F22" s="480"/>
      <c r="G22" s="363"/>
      <c r="H22" s="359"/>
      <c r="J22" s="471"/>
      <c r="K22" s="470"/>
    </row>
    <row r="23" customFormat="false" ht="15" hidden="false" customHeight="false" outlineLevel="0" collapsed="false">
      <c r="B23" s="481"/>
      <c r="C23" s="481"/>
      <c r="D23" s="482" t="str">
        <f aca="false">UMBRACLE!B11</f>
        <v>1. UMBRACLES</v>
      </c>
      <c r="E23" s="483"/>
      <c r="F23" s="483"/>
      <c r="G23" s="484"/>
      <c r="H23" s="485"/>
      <c r="I23" s="486" t="n">
        <f aca="false">UMBRACLE!I11</f>
        <v>27330.3024</v>
      </c>
      <c r="J23" s="471"/>
      <c r="K23" s="487"/>
      <c r="L23" s="488"/>
      <c r="M23" s="489"/>
      <c r="N23" s="490"/>
      <c r="O23" s="491"/>
    </row>
    <row r="24" customFormat="false" ht="15" hidden="false" customHeight="false" outlineLevel="0" collapsed="false">
      <c r="B24" s="323"/>
      <c r="C24" s="323"/>
      <c r="D24" s="499"/>
      <c r="E24" s="500"/>
      <c r="F24" s="500"/>
      <c r="G24" s="369"/>
      <c r="H24" s="501"/>
      <c r="I24" s="344"/>
      <c r="K24" s="470"/>
    </row>
    <row r="25" customFormat="false" ht="19.5" hidden="false" customHeight="true" outlineLevel="0" collapsed="false">
      <c r="B25" s="502" t="s">
        <v>1157</v>
      </c>
      <c r="C25" s="503"/>
      <c r="D25" s="504"/>
      <c r="E25" s="505"/>
      <c r="F25" s="505"/>
      <c r="G25" s="506"/>
      <c r="H25" s="507"/>
      <c r="I25" s="508" t="n">
        <f aca="false">SUM(+I15+I8+I20)</f>
        <v>137292.0299404</v>
      </c>
    </row>
    <row r="26" customFormat="false" ht="13.8" hidden="false" customHeight="false" outlineLevel="0" collapsed="false">
      <c r="B26" s="509"/>
      <c r="C26" s="368"/>
      <c r="D26" s="510"/>
      <c r="E26" s="481"/>
      <c r="F26" s="481"/>
      <c r="G26" s="511"/>
      <c r="H26" s="349"/>
      <c r="I26" s="370"/>
    </row>
    <row r="27" customFormat="false" ht="13.8" hidden="false" customHeight="false" outlineLevel="0" collapsed="false">
      <c r="B27" s="512" t="s">
        <v>1158</v>
      </c>
      <c r="C27" s="513"/>
      <c r="D27" s="514"/>
      <c r="E27" s="515"/>
      <c r="F27" s="515"/>
      <c r="G27" s="516"/>
      <c r="H27" s="517"/>
      <c r="I27" s="518" t="n">
        <f aca="false">SUM(I28:I29)</f>
        <v>5491.681197616</v>
      </c>
    </row>
    <row r="28" customFormat="false" ht="12.75" hidden="false" customHeight="true" outlineLevel="0" collapsed="false">
      <c r="B28" s="509"/>
      <c r="C28" s="368"/>
      <c r="D28" s="519" t="s">
        <v>1159</v>
      </c>
      <c r="E28" s="481"/>
      <c r="F28" s="481"/>
      <c r="G28" s="511"/>
      <c r="H28" s="349"/>
      <c r="I28" s="520" t="n">
        <f aca="false">I25*0.02</f>
        <v>2745.840598808</v>
      </c>
    </row>
    <row r="29" customFormat="false" ht="12.75" hidden="false" customHeight="true" outlineLevel="0" collapsed="false">
      <c r="B29" s="509"/>
      <c r="C29" s="368"/>
      <c r="D29" s="519" t="s">
        <v>1160</v>
      </c>
      <c r="E29" s="481"/>
      <c r="F29" s="481"/>
      <c r="G29" s="511"/>
      <c r="H29" s="349"/>
      <c r="I29" s="520" t="n">
        <f aca="false">I25*0.02</f>
        <v>2745.840598808</v>
      </c>
    </row>
    <row r="30" customFormat="false" ht="12.75" hidden="false" customHeight="true" outlineLevel="0" collapsed="false">
      <c r="B30" s="509"/>
      <c r="C30" s="368"/>
      <c r="D30" s="510"/>
      <c r="E30" s="481"/>
      <c r="F30" s="481"/>
      <c r="G30" s="511"/>
      <c r="H30" s="349"/>
      <c r="I30" s="370"/>
    </row>
    <row r="31" customFormat="false" ht="12.75" hidden="false" customHeight="true" outlineLevel="0" collapsed="false">
      <c r="B31" s="521" t="s">
        <v>1161</v>
      </c>
      <c r="C31" s="521"/>
      <c r="D31" s="521"/>
      <c r="E31" s="522"/>
      <c r="F31" s="522"/>
      <c r="G31" s="523"/>
      <c r="H31" s="524"/>
      <c r="I31" s="518" t="n">
        <f aca="false">SUM(I25,I27)</f>
        <v>142783.711138016</v>
      </c>
    </row>
    <row r="32" customFormat="false" ht="12.75" hidden="false" customHeight="true" outlineLevel="0" collapsed="false">
      <c r="B32" s="509"/>
      <c r="C32" s="368"/>
      <c r="D32" s="510"/>
      <c r="E32" s="481"/>
      <c r="F32" s="481"/>
      <c r="G32" s="511"/>
      <c r="H32" s="349"/>
      <c r="I32" s="370"/>
    </row>
    <row r="33" customFormat="false" ht="12.75" hidden="false" customHeight="true" outlineLevel="0" collapsed="false">
      <c r="B33" s="509"/>
      <c r="C33" s="368"/>
      <c r="D33" s="510"/>
      <c r="E33" s="481"/>
      <c r="F33" s="481"/>
      <c r="G33" s="511"/>
      <c r="H33" s="349"/>
      <c r="I33" s="370"/>
    </row>
    <row r="34" customFormat="false" ht="12.75" hidden="false" customHeight="true" outlineLevel="0" collapsed="false">
      <c r="B34" s="512" t="s">
        <v>1162</v>
      </c>
      <c r="C34" s="513"/>
      <c r="D34" s="514"/>
      <c r="E34" s="515"/>
      <c r="F34" s="515"/>
      <c r="G34" s="516"/>
      <c r="H34" s="517"/>
      <c r="I34" s="518" t="n">
        <f aca="false">SUM(I35:I36)</f>
        <v>27128.905116223</v>
      </c>
    </row>
    <row r="35" customFormat="false" ht="12.75" hidden="false" customHeight="true" outlineLevel="0" collapsed="false">
      <c r="B35" s="509"/>
      <c r="C35" s="368"/>
      <c r="D35" s="519" t="s">
        <v>1163</v>
      </c>
      <c r="E35" s="481"/>
      <c r="F35" s="481"/>
      <c r="G35" s="511"/>
      <c r="H35" s="349"/>
      <c r="I35" s="520" t="n">
        <f aca="false">I31*0.13</f>
        <v>18561.8824479421</v>
      </c>
    </row>
    <row r="36" customFormat="false" ht="12.75" hidden="false" customHeight="true" outlineLevel="0" collapsed="false">
      <c r="B36" s="509"/>
      <c r="C36" s="368"/>
      <c r="D36" s="519" t="s">
        <v>1164</v>
      </c>
      <c r="E36" s="481"/>
      <c r="F36" s="481"/>
      <c r="G36" s="511"/>
      <c r="H36" s="349"/>
      <c r="I36" s="520" t="n">
        <f aca="false">I31*0.06</f>
        <v>8567.02266828096</v>
      </c>
    </row>
    <row r="37" customFormat="false" ht="12.75" hidden="false" customHeight="true" outlineLevel="0" collapsed="false">
      <c r="B37" s="509"/>
      <c r="C37" s="368"/>
      <c r="D37" s="525"/>
      <c r="E37" s="481"/>
      <c r="F37" s="481"/>
      <c r="G37" s="511"/>
      <c r="H37" s="349"/>
      <c r="I37" s="370"/>
    </row>
    <row r="38" customFormat="false" ht="12.75" hidden="false" customHeight="true" outlineLevel="0" collapsed="false">
      <c r="B38" s="521" t="s">
        <v>1161</v>
      </c>
      <c r="C38" s="521"/>
      <c r="D38" s="521"/>
      <c r="E38" s="522"/>
      <c r="F38" s="522"/>
      <c r="G38" s="523"/>
      <c r="H38" s="524"/>
      <c r="I38" s="518" t="n">
        <f aca="false">I31+I34</f>
        <v>169912.616254239</v>
      </c>
    </row>
    <row r="39" customFormat="false" ht="12.75" hidden="false" customHeight="true" outlineLevel="0" collapsed="false">
      <c r="B39" s="526"/>
      <c r="C39" s="368"/>
      <c r="D39" s="510"/>
      <c r="E39" s="481"/>
      <c r="F39" s="481"/>
      <c r="G39" s="511"/>
      <c r="H39" s="349"/>
      <c r="I39" s="370"/>
    </row>
    <row r="40" customFormat="false" ht="12.75" hidden="false" customHeight="true" outlineLevel="0" collapsed="false">
      <c r="B40" s="509"/>
      <c r="C40" s="368"/>
      <c r="D40" s="510"/>
      <c r="E40" s="481"/>
      <c r="F40" s="481"/>
      <c r="G40" s="511"/>
      <c r="H40" s="349"/>
      <c r="I40" s="370"/>
    </row>
    <row r="41" customFormat="false" ht="12.75" hidden="false" customHeight="true" outlineLevel="0" collapsed="false">
      <c r="B41" s="512" t="s">
        <v>1165</v>
      </c>
      <c r="C41" s="513"/>
      <c r="D41" s="514"/>
      <c r="E41" s="515"/>
      <c r="F41" s="515"/>
      <c r="G41" s="516"/>
      <c r="H41" s="517"/>
      <c r="I41" s="518" t="n">
        <f aca="false">SUM(I42)</f>
        <v>35681.6494133902</v>
      </c>
    </row>
    <row r="42" customFormat="false" ht="12.75" hidden="false" customHeight="true" outlineLevel="0" collapsed="false">
      <c r="B42" s="509"/>
      <c r="C42" s="368"/>
      <c r="D42" s="519" t="s">
        <v>1166</v>
      </c>
      <c r="E42" s="527" t="b">
        <f aca="false">I15=ACCÉS!I7</f>
        <v>1</v>
      </c>
      <c r="F42" s="481"/>
      <c r="G42" s="511"/>
      <c r="H42" s="349"/>
      <c r="I42" s="520" t="n">
        <f aca="false">I38*0.21</f>
        <v>35681.6494133902</v>
      </c>
    </row>
    <row r="43" customFormat="false" ht="12.75" hidden="false" customHeight="true" outlineLevel="0" collapsed="false">
      <c r="B43" s="509"/>
      <c r="C43" s="368"/>
      <c r="D43" s="510"/>
      <c r="E43" s="481"/>
      <c r="F43" s="481"/>
      <c r="G43" s="511"/>
      <c r="H43" s="349"/>
      <c r="I43" s="370"/>
    </row>
    <row r="44" customFormat="false" ht="19.5" hidden="false" customHeight="true" outlineLevel="0" collapsed="false">
      <c r="B44" s="502" t="s">
        <v>1167</v>
      </c>
      <c r="C44" s="503"/>
      <c r="D44" s="504"/>
      <c r="E44" s="505"/>
      <c r="F44" s="505"/>
      <c r="G44" s="506"/>
      <c r="H44" s="507"/>
      <c r="I44" s="528" t="n">
        <f aca="false">I38+I41</f>
        <v>205594.265667629</v>
      </c>
    </row>
    <row r="45" customFormat="false" ht="13.8" hidden="false" customHeight="false" outlineLevel="0" collapsed="false">
      <c r="A45" s="382"/>
      <c r="B45" s="529"/>
      <c r="C45" s="529"/>
      <c r="D45" s="530"/>
      <c r="E45" s="529"/>
      <c r="F45" s="529"/>
      <c r="G45" s="529"/>
      <c r="H45" s="529"/>
      <c r="I45" s="529"/>
    </row>
    <row r="46" customFormat="false" ht="13.8" hidden="false" customHeight="false" outlineLevel="0" collapsed="false">
      <c r="D46" s="277"/>
      <c r="H46" s="277"/>
      <c r="I46" s="277"/>
    </row>
    <row r="47" customFormat="false" ht="13.8" hidden="false" customHeight="false" outlineLevel="0" collapsed="false">
      <c r="D47" s="277"/>
      <c r="H47" s="277"/>
      <c r="I47" s="277"/>
    </row>
    <row r="48" customFormat="false" ht="13.8" hidden="false" customHeight="false" outlineLevel="0" collapsed="false">
      <c r="D48" s="277"/>
      <c r="H48" s="277"/>
      <c r="I48" s="277"/>
    </row>
    <row r="49" customFormat="false" ht="13.8" hidden="false" customHeight="false" outlineLevel="0" collapsed="false">
      <c r="D49" s="277"/>
      <c r="H49" s="277"/>
      <c r="I49" s="277"/>
    </row>
    <row r="50" customFormat="false" ht="13.8" hidden="false" customHeight="false" outlineLevel="0" collapsed="false">
      <c r="D50" s="277"/>
      <c r="H50" s="277"/>
      <c r="I50" s="277"/>
    </row>
    <row r="51" customFormat="false" ht="13.8" hidden="false" customHeight="false" outlineLevel="0" collapsed="false">
      <c r="D51" s="277"/>
      <c r="H51" s="277"/>
      <c r="I51" s="277"/>
    </row>
    <row r="52" customFormat="false" ht="13.8" hidden="false" customHeight="false" outlineLevel="0" collapsed="false">
      <c r="D52" s="277"/>
      <c r="H52" s="277"/>
      <c r="I52" s="277"/>
    </row>
    <row r="53" customFormat="false" ht="13.8" hidden="false" customHeight="false" outlineLevel="0" collapsed="false">
      <c r="D53" s="277"/>
      <c r="H53" s="277"/>
      <c r="I53" s="277"/>
    </row>
    <row r="54" customFormat="false" ht="13.8" hidden="false" customHeight="false" outlineLevel="0" collapsed="false">
      <c r="D54" s="277"/>
      <c r="H54" s="277"/>
      <c r="I54" s="277"/>
    </row>
  </sheetData>
  <printOptions headings="false" gridLines="false" gridLinesSet="true" horizontalCentered="false" verticalCentered="false"/>
  <pageMargins left="0.708333333333333" right="0.196527777777778" top="0.708333333333333" bottom="1.10208333333333" header="0.511811023622047" footer="0.39375"/>
  <pageSetup paperSize="9" scale="100" fitToWidth="1" fitToHeight="0" pageOrder="overThenDown" orientation="portrait" blackAndWhite="false" draft="false" cellComments="none" horizontalDpi="300" verticalDpi="300" copies="1"/>
  <headerFooter differentFirst="false" differentOddEven="false">
    <oddHeader/>
    <oddFooter>&amp;L&amp;"Swis721 Lt BT,Clar"&amp;8VALORACIÓ ECONÒMICA - ESCOLA BRESSOL MUNICIPAL ROCAFONDA&amp;C&amp;"Swis721 Lt BT,Clar"&amp;9&amp;Ke0e0e0  RESUM CAPÍTOLS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9B3D7587CA3D4FB0564F7D0C54EAB7" ma:contentTypeVersion="15" ma:contentTypeDescription="Crear nuevo documento." ma:contentTypeScope="" ma:versionID="eb9910cca8ccfa0488faa3de40ba54b6">
  <xsd:schema xmlns:xsd="http://www.w3.org/2001/XMLSchema" xmlns:xs="http://www.w3.org/2001/XMLSchema" xmlns:p="http://schemas.microsoft.com/office/2006/metadata/properties" xmlns:ns2="bd6b893e-6d98-4710-92c2-389b59b64829" xmlns:ns3="bdc334ff-fa8b-47d3-aaa3-b464e9aabbec" targetNamespace="http://schemas.microsoft.com/office/2006/metadata/properties" ma:root="true" ma:fieldsID="8a6ee0f11d3f0778e8fa32f5d5c93f60" ns2:_="" ns3:_="">
    <xsd:import namespace="bd6b893e-6d98-4710-92c2-389b59b64829"/>
    <xsd:import namespace="bdc334ff-fa8b-47d3-aaa3-b464e9aabb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Creaci_x00f3_" minOccurs="0"/>
                <xsd:element ref="ns2:GTM" minOccurs="0"/>
                <xsd:element ref="ns2:Assessor" minOccurs="0"/>
                <xsd:element ref="ns2:Observac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b893e-6d98-4710-92c2-389b59b64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Creaci_x00f3_" ma:index="11" nillable="true" ma:displayName="Creació" ma:format="DateOnly" ma:internalName="Creaci_x00f3_">
      <xsd:simpleType>
        <xsd:restriction base="dms:DateTime"/>
      </xsd:simpleType>
    </xsd:element>
    <xsd:element name="GTM" ma:index="12" nillable="true" ma:displayName="GTM" ma:default="2025/0000" ma:description="2025/000028826" ma:internalName="GTM">
      <xsd:simpleType>
        <xsd:restriction base="dms:Text">
          <xsd:maxLength value="255"/>
        </xsd:restriction>
      </xsd:simpleType>
    </xsd:element>
    <xsd:element name="Assessor" ma:index="13" nillable="true" ma:displayName="Assessor" ma:format="Dropdown" ma:internalName="Assessor">
      <xsd:simpleType>
        <xsd:restriction base="dms:Text">
          <xsd:maxLength value="255"/>
        </xsd:restriction>
      </xsd:simpleType>
    </xsd:element>
    <xsd:element name="Observacions" ma:index="14" nillable="true" ma:displayName="Observacions" ma:description="Per tramesa invitació" ma:format="Dropdown" ma:internalName="Observacion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b47c2126-c438-4055-99c2-3b2d8ecec11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c334ff-fa8b-47d3-aaa3-b464e9aabbe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84e4afd-aaa9-4bfe-8f45-8288677bddf0}" ma:internalName="TaxCatchAll" ma:showField="CatchAllData" ma:web="bdc334ff-fa8b-47d3-aaa3-b464e9aabb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dc334ff-fa8b-47d3-aaa3-b464e9aabbec" xsi:nil="true"/>
    <GTM xmlns="bd6b893e-6d98-4710-92c2-389b59b64829">2025/0000</GTM>
    <Assessor xmlns="bd6b893e-6d98-4710-92c2-389b59b64829" xsi:nil="true"/>
    <Creaci_x00f3_ xmlns="bd6b893e-6d98-4710-92c2-389b59b64829" xsi:nil="true"/>
    <Observacions xmlns="bd6b893e-6d98-4710-92c2-389b59b64829" xsi:nil="true"/>
    <lcf76f155ced4ddcb4097134ff3c332f xmlns="bd6b893e-6d98-4710-92c2-389b59b6482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FD37B0B-A3F6-4971-98EF-0056CA8F6BD4}"/>
</file>

<file path=customXml/itemProps2.xml><?xml version="1.0" encoding="utf-8"?>
<ds:datastoreItem xmlns:ds="http://schemas.openxmlformats.org/officeDocument/2006/customXml" ds:itemID="{A02B65AA-955C-43C6-A5C8-311F22790AAC}"/>
</file>

<file path=customXml/itemProps3.xml><?xml version="1.0" encoding="utf-8"?>
<ds:datastoreItem xmlns:ds="http://schemas.openxmlformats.org/officeDocument/2006/customXml" ds:itemID="{8351A8CF-2717-4805-BCAD-63A56E6D5B8F}"/>
</file>

<file path=docProps/app.xml><?xml version="1.0" encoding="utf-8"?>
<Properties xmlns="http://schemas.openxmlformats.org/officeDocument/2006/extended-properties" xmlns:vt="http://schemas.openxmlformats.org/officeDocument/2006/docPropsVTypes">
  <Template/>
  <TotalTime>16</TotalTime>
  <Application>LibreOffice/25.8.3.2$Windows_X86_64 LibreOffice_project/8ca8d55c161d602844f5428fa4b58097424e324e</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dc:description/>
  <cp:lastModifiedBy/>
  <cp:revision>3</cp:revision>
  <cp:lastPrinted>2026-02-13T15:00:16Z</cp:lastPrinted>
  <dcterms:created xsi:type="dcterms:W3CDTF">2017-05-10T13:37:01Z</dcterms:created>
  <dcterms:modified xsi:type="dcterms:W3CDTF">2026-05-13T13:39:58Z</dcterms:modified>
  <dc:language>es-ES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0x010100009B3D7587CA3D4FB0564F7D0C54EAB7</vt:lpwstr>
  </property>
</Properties>
</file>