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omun\HE\EXPEDIENTS\2460-La Vall d'en Bas\Plecs i annexes\Annexes modificats\modificacions febrer 2026\"/>
    </mc:Choice>
  </mc:AlternateContent>
  <xr:revisionPtr revIDLastSave="0" documentId="13_ncr:1_{C70E321D-38C0-464A-80FA-86A2032273EE}" xr6:coauthVersionLast="47" xr6:coauthVersionMax="47" xr10:uidLastSave="{00000000-0000-0000-0000-000000000000}"/>
  <bookViews>
    <workbookView xWindow="-120" yWindow="-120" windowWidth="29040" windowHeight="15840" xr2:uid="{D2BC1E0F-1742-4494-AD62-B441888897D1}"/>
  </bookViews>
  <sheets>
    <sheet name="Compte de resultats i inversion" sheetId="1" r:id="rId1"/>
    <sheet name="Taula de costo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" l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D35" i="1"/>
  <c r="C35" i="1"/>
  <c r="C49" i="1"/>
  <c r="C11" i="1" l="1"/>
  <c r="E11" i="1"/>
  <c r="F11" i="1"/>
  <c r="D11" i="1"/>
  <c r="E64" i="1"/>
  <c r="F64" i="1"/>
  <c r="G64" i="1" s="1"/>
  <c r="H64" i="1" s="1"/>
  <c r="I64" i="1" s="1"/>
  <c r="J64" i="1" s="1"/>
  <c r="K64" i="1" s="1"/>
  <c r="L64" i="1" s="1"/>
  <c r="M64" i="1" s="1"/>
  <c r="N64" i="1" s="1"/>
  <c r="O64" i="1" s="1"/>
  <c r="P64" i="1" s="1"/>
  <c r="Q64" i="1" s="1"/>
  <c r="R64" i="1" s="1"/>
  <c r="E53" i="1"/>
  <c r="F53" i="1"/>
  <c r="G53" i="1"/>
  <c r="H53" i="1"/>
  <c r="I53" i="1"/>
  <c r="J53" i="1"/>
  <c r="K53" i="1"/>
  <c r="D53" i="1"/>
  <c r="J70" i="1"/>
  <c r="K70" i="1"/>
  <c r="I70" i="1"/>
  <c r="H70" i="1"/>
  <c r="G70" i="1"/>
  <c r="F70" i="1"/>
  <c r="E70" i="1"/>
  <c r="D70" i="1"/>
  <c r="C53" i="1"/>
  <c r="D64" i="1"/>
  <c r="E23" i="1"/>
  <c r="F23" i="1"/>
  <c r="G23" i="1" s="1"/>
  <c r="H23" i="1" s="1"/>
  <c r="I23" i="1" s="1"/>
  <c r="J23" i="1" s="1"/>
  <c r="K23" i="1" s="1"/>
  <c r="L23" i="1" s="1"/>
  <c r="M23" i="1" s="1"/>
  <c r="N23" i="1" s="1"/>
  <c r="O23" i="1" s="1"/>
  <c r="P23" i="1" s="1"/>
  <c r="Q23" i="1" s="1"/>
  <c r="R23" i="1" s="1"/>
  <c r="D23" i="1"/>
  <c r="E10" i="1"/>
  <c r="F10" i="1"/>
  <c r="G10" i="1" s="1"/>
  <c r="H10" i="1" s="1"/>
  <c r="I10" i="1" s="1"/>
  <c r="J10" i="1" s="1"/>
  <c r="K10" i="1" s="1"/>
  <c r="L10" i="1" s="1"/>
  <c r="M10" i="1" s="1"/>
  <c r="N10" i="1" s="1"/>
  <c r="O10" i="1" s="1"/>
  <c r="P10" i="1" s="1"/>
  <c r="Q10" i="1" s="1"/>
  <c r="R10" i="1" s="1"/>
  <c r="D10" i="1"/>
  <c r="C70" i="1"/>
  <c r="C65" i="1" l="1"/>
  <c r="N53" i="1"/>
  <c r="N95" i="1" s="1"/>
  <c r="O53" i="1"/>
  <c r="O95" i="1" s="1"/>
  <c r="P53" i="1"/>
  <c r="P95" i="1" s="1"/>
  <c r="Q53" i="1"/>
  <c r="Q95" i="1" s="1"/>
  <c r="R53" i="1"/>
  <c r="R95" i="1" s="1"/>
  <c r="S70" i="1" l="1"/>
  <c r="F121" i="1"/>
  <c r="D24" i="1"/>
  <c r="D22" i="1"/>
  <c r="D21" i="1"/>
  <c r="D19" i="1"/>
  <c r="D17" i="1"/>
  <c r="D16" i="1"/>
  <c r="D7" i="1" l="1"/>
  <c r="E24" i="1" l="1"/>
  <c r="F24" i="1" s="1"/>
  <c r="G24" i="1" s="1"/>
  <c r="H24" i="1" s="1"/>
  <c r="I24" i="1" s="1"/>
  <c r="J24" i="1" s="1"/>
  <c r="K24" i="1" s="1"/>
  <c r="L24" i="1" s="1"/>
  <c r="M24" i="1" s="1"/>
  <c r="N24" i="1" s="1"/>
  <c r="O24" i="1" s="1"/>
  <c r="P24" i="1" s="1"/>
  <c r="Q24" i="1" s="1"/>
  <c r="R24" i="1" s="1"/>
  <c r="D62" i="1"/>
  <c r="E17" i="1"/>
  <c r="E16" i="1"/>
  <c r="D56" i="1"/>
  <c r="D18" i="1"/>
  <c r="E19" i="1"/>
  <c r="F19" i="1" s="1"/>
  <c r="G19" i="1" s="1"/>
  <c r="H19" i="1" s="1"/>
  <c r="I19" i="1" s="1"/>
  <c r="J19" i="1" s="1"/>
  <c r="K19" i="1" s="1"/>
  <c r="L19" i="1" s="1"/>
  <c r="M19" i="1" s="1"/>
  <c r="N19" i="1" s="1"/>
  <c r="O19" i="1" s="1"/>
  <c r="P19" i="1" s="1"/>
  <c r="Q19" i="1" s="1"/>
  <c r="R19" i="1" s="1"/>
  <c r="E20" i="1"/>
  <c r="F20" i="1" s="1"/>
  <c r="G20" i="1" s="1"/>
  <c r="H20" i="1" s="1"/>
  <c r="I20" i="1" s="1"/>
  <c r="J20" i="1" s="1"/>
  <c r="K20" i="1" s="1"/>
  <c r="L20" i="1" s="1"/>
  <c r="M20" i="1" s="1"/>
  <c r="N20" i="1" s="1"/>
  <c r="O20" i="1" s="1"/>
  <c r="P20" i="1" s="1"/>
  <c r="Q20" i="1" s="1"/>
  <c r="R20" i="1" s="1"/>
  <c r="E22" i="1"/>
  <c r="F22" i="1" s="1"/>
  <c r="G22" i="1" s="1"/>
  <c r="H22" i="1" s="1"/>
  <c r="I22" i="1" s="1"/>
  <c r="J22" i="1" s="1"/>
  <c r="K22" i="1" s="1"/>
  <c r="L22" i="1" s="1"/>
  <c r="M22" i="1" s="1"/>
  <c r="N22" i="1" s="1"/>
  <c r="O22" i="1" s="1"/>
  <c r="P22" i="1" s="1"/>
  <c r="Q22" i="1" s="1"/>
  <c r="R22" i="1" s="1"/>
  <c r="G95" i="1"/>
  <c r="J95" i="1"/>
  <c r="K95" i="1"/>
  <c r="L53" i="1"/>
  <c r="M53" i="1"/>
  <c r="E4" i="1"/>
  <c r="F4" i="1" s="1"/>
  <c r="G4" i="1" s="1"/>
  <c r="H4" i="1" s="1"/>
  <c r="I4" i="1" s="1"/>
  <c r="J4" i="1" s="1"/>
  <c r="K4" i="1" s="1"/>
  <c r="L4" i="1" s="1"/>
  <c r="M4" i="1" s="1"/>
  <c r="N4" i="1" s="1"/>
  <c r="C13" i="1"/>
  <c r="C26" i="1" s="1"/>
  <c r="D61" i="1"/>
  <c r="E61" i="1" s="1"/>
  <c r="C27" i="1" l="1"/>
  <c r="C28" i="1"/>
  <c r="S53" i="1"/>
  <c r="O4" i="1"/>
  <c r="N97" i="1"/>
  <c r="F17" i="1"/>
  <c r="D54" i="1"/>
  <c r="D57" i="1" s="1"/>
  <c r="E55" i="1" s="1"/>
  <c r="F55" i="1" s="1"/>
  <c r="G55" i="1" s="1"/>
  <c r="H55" i="1" s="1"/>
  <c r="I55" i="1" s="1"/>
  <c r="J55" i="1" s="1"/>
  <c r="K55" i="1" s="1"/>
  <c r="L55" i="1" s="1"/>
  <c r="M55" i="1" s="1"/>
  <c r="N55" i="1" s="1"/>
  <c r="O55" i="1" s="1"/>
  <c r="P55" i="1" s="1"/>
  <c r="Q55" i="1" s="1"/>
  <c r="E18" i="1"/>
  <c r="F18" i="1" s="1"/>
  <c r="G18" i="1" s="1"/>
  <c r="H18" i="1" s="1"/>
  <c r="I18" i="1" s="1"/>
  <c r="J18" i="1" s="1"/>
  <c r="K18" i="1" s="1"/>
  <c r="L18" i="1" s="1"/>
  <c r="M18" i="1" s="1"/>
  <c r="N18" i="1" s="1"/>
  <c r="O18" i="1" s="1"/>
  <c r="P18" i="1" s="1"/>
  <c r="Q18" i="1" s="1"/>
  <c r="R18" i="1" s="1"/>
  <c r="E7" i="1"/>
  <c r="J97" i="1"/>
  <c r="K97" i="1"/>
  <c r="G97" i="1"/>
  <c r="D49" i="1"/>
  <c r="D63" i="1"/>
  <c r="F61" i="1"/>
  <c r="D95" i="1"/>
  <c r="L95" i="1"/>
  <c r="L97" i="1" s="1"/>
  <c r="I95" i="1"/>
  <c r="I97" i="1" s="1"/>
  <c r="F95" i="1"/>
  <c r="F97" i="1" s="1"/>
  <c r="E95" i="1"/>
  <c r="E97" i="1" s="1"/>
  <c r="M95" i="1"/>
  <c r="M97" i="1" s="1"/>
  <c r="H95" i="1"/>
  <c r="H97" i="1" s="1"/>
  <c r="E21" i="1"/>
  <c r="F21" i="1" s="1"/>
  <c r="G21" i="1" s="1"/>
  <c r="H21" i="1" s="1"/>
  <c r="I21" i="1" s="1"/>
  <c r="J21" i="1" s="1"/>
  <c r="K21" i="1" s="1"/>
  <c r="L21" i="1" s="1"/>
  <c r="M21" i="1" s="1"/>
  <c r="N21" i="1" s="1"/>
  <c r="O21" i="1" s="1"/>
  <c r="P21" i="1" s="1"/>
  <c r="Q21" i="1" s="1"/>
  <c r="R21" i="1" s="1"/>
  <c r="F16" i="1"/>
  <c r="R55" i="1" l="1"/>
  <c r="P4" i="1"/>
  <c r="O97" i="1"/>
  <c r="E86" i="1"/>
  <c r="G17" i="1"/>
  <c r="F86" i="1"/>
  <c r="D34" i="1"/>
  <c r="D58" i="1" s="1"/>
  <c r="C36" i="1"/>
  <c r="U95" i="1"/>
  <c r="E54" i="1"/>
  <c r="D97" i="1"/>
  <c r="E49" i="1"/>
  <c r="D86" i="1"/>
  <c r="E62" i="1"/>
  <c r="F7" i="1"/>
  <c r="E63" i="1"/>
  <c r="F63" i="1"/>
  <c r="G61" i="1"/>
  <c r="D82" i="1"/>
  <c r="F49" i="1"/>
  <c r="G16" i="1"/>
  <c r="S55" i="1" l="1"/>
  <c r="F54" i="1"/>
  <c r="G54" i="1" s="1"/>
  <c r="H54" i="1" s="1"/>
  <c r="Q4" i="1"/>
  <c r="P97" i="1"/>
  <c r="H17" i="1"/>
  <c r="G86" i="1"/>
  <c r="F33" i="1"/>
  <c r="U97" i="1"/>
  <c r="G7" i="1"/>
  <c r="F62" i="1"/>
  <c r="E33" i="1"/>
  <c r="G63" i="1"/>
  <c r="H61" i="1"/>
  <c r="E56" i="1"/>
  <c r="E57" i="1" s="1"/>
  <c r="E34" i="1" s="1"/>
  <c r="E58" i="1" s="1"/>
  <c r="H16" i="1"/>
  <c r="G49" i="1"/>
  <c r="R4" i="1" l="1"/>
  <c r="Q97" i="1"/>
  <c r="I17" i="1"/>
  <c r="H86" i="1"/>
  <c r="F81" i="1"/>
  <c r="E81" i="1"/>
  <c r="F56" i="1"/>
  <c r="F57" i="1" s="1"/>
  <c r="F34" i="1" s="1"/>
  <c r="F82" i="1" s="1"/>
  <c r="G62" i="1"/>
  <c r="H7" i="1"/>
  <c r="H63" i="1"/>
  <c r="I61" i="1"/>
  <c r="H49" i="1"/>
  <c r="I16" i="1"/>
  <c r="R97" i="1" l="1"/>
  <c r="J17" i="1"/>
  <c r="I86" i="1"/>
  <c r="G33" i="1"/>
  <c r="G56" i="1"/>
  <c r="G57" i="1" s="1"/>
  <c r="G34" i="1" s="1"/>
  <c r="G82" i="1" s="1"/>
  <c r="E82" i="1"/>
  <c r="H62" i="1"/>
  <c r="I7" i="1"/>
  <c r="F58" i="1"/>
  <c r="I63" i="1"/>
  <c r="J61" i="1"/>
  <c r="I54" i="1"/>
  <c r="I49" i="1"/>
  <c r="J16" i="1"/>
  <c r="K17" i="1" l="1"/>
  <c r="J86" i="1"/>
  <c r="H33" i="1"/>
  <c r="H81" i="1" s="1"/>
  <c r="G81" i="1"/>
  <c r="H56" i="1"/>
  <c r="H57" i="1" s="1"/>
  <c r="H34" i="1" s="1"/>
  <c r="G58" i="1"/>
  <c r="I62" i="1"/>
  <c r="J7" i="1"/>
  <c r="J63" i="1"/>
  <c r="K61" i="1"/>
  <c r="J54" i="1"/>
  <c r="J49" i="1"/>
  <c r="K16" i="1"/>
  <c r="L17" i="1" l="1"/>
  <c r="K86" i="1"/>
  <c r="H82" i="1"/>
  <c r="I33" i="1"/>
  <c r="H58" i="1"/>
  <c r="I56" i="1"/>
  <c r="I57" i="1" s="1"/>
  <c r="I34" i="1" s="1"/>
  <c r="I82" i="1" s="1"/>
  <c r="J62" i="1"/>
  <c r="K7" i="1"/>
  <c r="L61" i="1"/>
  <c r="K63" i="1"/>
  <c r="K54" i="1"/>
  <c r="L16" i="1"/>
  <c r="K49" i="1"/>
  <c r="M17" i="1" l="1"/>
  <c r="L86" i="1"/>
  <c r="K33" i="1"/>
  <c r="I81" i="1"/>
  <c r="J33" i="1"/>
  <c r="I58" i="1"/>
  <c r="J56" i="1"/>
  <c r="J57" i="1" s="1"/>
  <c r="J34" i="1" s="1"/>
  <c r="J82" i="1" s="1"/>
  <c r="L7" i="1"/>
  <c r="K62" i="1"/>
  <c r="L63" i="1"/>
  <c r="M61" i="1"/>
  <c r="N61" i="1" s="1"/>
  <c r="L54" i="1"/>
  <c r="L49" i="1"/>
  <c r="M16" i="1"/>
  <c r="N16" i="1" l="1"/>
  <c r="O16" i="1" s="1"/>
  <c r="N17" i="1"/>
  <c r="M86" i="1"/>
  <c r="O61" i="1"/>
  <c r="N63" i="1"/>
  <c r="M7" i="1"/>
  <c r="N7" i="1" s="1"/>
  <c r="L33" i="1"/>
  <c r="L81" i="1" s="1"/>
  <c r="K81" i="1"/>
  <c r="J81" i="1"/>
  <c r="J58" i="1"/>
  <c r="K56" i="1"/>
  <c r="K57" i="1" s="1"/>
  <c r="K34" i="1" s="1"/>
  <c r="K58" i="1" s="1"/>
  <c r="L62" i="1"/>
  <c r="M63" i="1"/>
  <c r="M54" i="1"/>
  <c r="N54" i="1" s="1"/>
  <c r="M49" i="1"/>
  <c r="N49" i="1" l="1"/>
  <c r="O17" i="1"/>
  <c r="N86" i="1"/>
  <c r="P16" i="1"/>
  <c r="P61" i="1"/>
  <c r="O63" i="1"/>
  <c r="O7" i="1"/>
  <c r="N62" i="1"/>
  <c r="O54" i="1"/>
  <c r="L56" i="1"/>
  <c r="K82" i="1"/>
  <c r="M62" i="1"/>
  <c r="O49" i="1" l="1"/>
  <c r="P17" i="1"/>
  <c r="P49" i="1" s="1"/>
  <c r="O86" i="1"/>
  <c r="Q16" i="1"/>
  <c r="Q61" i="1"/>
  <c r="P63" i="1"/>
  <c r="P7" i="1"/>
  <c r="O62" i="1"/>
  <c r="N33" i="1"/>
  <c r="N81" i="1" s="1"/>
  <c r="M33" i="1"/>
  <c r="M81" i="1" s="1"/>
  <c r="M56" i="1"/>
  <c r="N56" i="1" s="1"/>
  <c r="N57" i="1" s="1"/>
  <c r="N34" i="1" s="1"/>
  <c r="N58" i="1" s="1"/>
  <c r="O33" i="1"/>
  <c r="P54" i="1"/>
  <c r="L57" i="1"/>
  <c r="L34" i="1" s="1"/>
  <c r="O56" i="1" l="1"/>
  <c r="N82" i="1"/>
  <c r="M57" i="1"/>
  <c r="M34" i="1" s="1"/>
  <c r="M82" i="1" s="1"/>
  <c r="Q17" i="1"/>
  <c r="Q49" i="1" s="1"/>
  <c r="P86" i="1"/>
  <c r="R16" i="1"/>
  <c r="R61" i="1"/>
  <c r="Q63" i="1"/>
  <c r="Q7" i="1"/>
  <c r="P62" i="1"/>
  <c r="Q54" i="1"/>
  <c r="O81" i="1"/>
  <c r="P33" i="1"/>
  <c r="L58" i="1"/>
  <c r="L82" i="1"/>
  <c r="M58" i="1" l="1"/>
  <c r="P56" i="1"/>
  <c r="O57" i="1"/>
  <c r="O34" i="1" s="1"/>
  <c r="R17" i="1"/>
  <c r="R49" i="1" s="1"/>
  <c r="Q86" i="1"/>
  <c r="R63" i="1"/>
  <c r="R7" i="1"/>
  <c r="Q62" i="1"/>
  <c r="P81" i="1"/>
  <c r="Q33" i="1"/>
  <c r="R54" i="1"/>
  <c r="O58" i="1" l="1"/>
  <c r="O82" i="1"/>
  <c r="Q56" i="1"/>
  <c r="P57" i="1"/>
  <c r="P34" i="1" s="1"/>
  <c r="R86" i="1"/>
  <c r="R62" i="1"/>
  <c r="Q81" i="1"/>
  <c r="R33" i="1"/>
  <c r="C41" i="1"/>
  <c r="C42" i="1" s="1"/>
  <c r="P82" i="1" l="1"/>
  <c r="P58" i="1"/>
  <c r="Q57" i="1"/>
  <c r="Q34" i="1" s="1"/>
  <c r="R56" i="1"/>
  <c r="R57" i="1" s="1"/>
  <c r="R34" i="1" s="1"/>
  <c r="R58" i="1" s="1"/>
  <c r="R81" i="1"/>
  <c r="C44" i="1"/>
  <c r="C43" i="1"/>
  <c r="C39" i="1"/>
  <c r="R82" i="1" l="1"/>
  <c r="Q58" i="1"/>
  <c r="Q82" i="1"/>
  <c r="C45" i="1"/>
  <c r="C46" i="1"/>
  <c r="U86" i="1" l="1"/>
  <c r="U81" i="1" l="1"/>
  <c r="U82" i="1" l="1"/>
  <c r="U83" i="1" s="1"/>
  <c r="S33" i="1" l="1"/>
  <c r="S58" i="1" l="1"/>
  <c r="S34" i="1"/>
  <c r="D65" i="1"/>
  <c r="D9" i="1" s="1"/>
  <c r="E65" i="1" l="1"/>
  <c r="D13" i="1" l="1"/>
  <c r="E9" i="1"/>
  <c r="F65" i="1"/>
  <c r="D26" i="1" l="1"/>
  <c r="D27" i="1"/>
  <c r="E13" i="1"/>
  <c r="D77" i="1"/>
  <c r="F9" i="1"/>
  <c r="G65" i="1"/>
  <c r="E27" i="1" l="1"/>
  <c r="E26" i="1"/>
  <c r="E77" i="1"/>
  <c r="F13" i="1"/>
  <c r="D28" i="1"/>
  <c r="D59" i="1" s="1"/>
  <c r="G9" i="1"/>
  <c r="G11" i="1" s="1"/>
  <c r="H65" i="1"/>
  <c r="E28" i="1" l="1"/>
  <c r="E79" i="1" s="1"/>
  <c r="E83" i="1" s="1"/>
  <c r="E85" i="1" s="1"/>
  <c r="E87" i="1" s="1"/>
  <c r="E89" i="1" s="1"/>
  <c r="F26" i="1"/>
  <c r="F27" i="1"/>
  <c r="F28" i="1" s="1"/>
  <c r="D79" i="1"/>
  <c r="D83" i="1" s="1"/>
  <c r="D85" i="1" s="1"/>
  <c r="D87" i="1" s="1"/>
  <c r="D89" i="1" s="1"/>
  <c r="D91" i="1" s="1"/>
  <c r="F77" i="1"/>
  <c r="G13" i="1"/>
  <c r="E59" i="1"/>
  <c r="H9" i="1"/>
  <c r="H11" i="1" s="1"/>
  <c r="I65" i="1"/>
  <c r="D101" i="1" l="1"/>
  <c r="G27" i="1"/>
  <c r="G26" i="1"/>
  <c r="G77" i="1"/>
  <c r="H13" i="1"/>
  <c r="J65" i="1"/>
  <c r="I9" i="1"/>
  <c r="I11" i="1" s="1"/>
  <c r="F79" i="1"/>
  <c r="F83" i="1" s="1"/>
  <c r="F85" i="1" s="1"/>
  <c r="E101" i="1"/>
  <c r="E91" i="1"/>
  <c r="H27" i="1" l="1"/>
  <c r="H26" i="1"/>
  <c r="G28" i="1"/>
  <c r="G79" i="1" s="1"/>
  <c r="G83" i="1" s="1"/>
  <c r="G85" i="1" s="1"/>
  <c r="G87" i="1" s="1"/>
  <c r="G89" i="1" s="1"/>
  <c r="G91" i="1" s="1"/>
  <c r="I13" i="1"/>
  <c r="H77" i="1"/>
  <c r="J9" i="1"/>
  <c r="J11" i="1" s="1"/>
  <c r="K65" i="1"/>
  <c r="F87" i="1"/>
  <c r="F89" i="1" s="1"/>
  <c r="G101" i="1" l="1"/>
  <c r="H28" i="1"/>
  <c r="H79" i="1" s="1"/>
  <c r="H83" i="1" s="1"/>
  <c r="H85" i="1" s="1"/>
  <c r="H87" i="1" s="1"/>
  <c r="H89" i="1" s="1"/>
  <c r="H91" i="1" s="1"/>
  <c r="I26" i="1"/>
  <c r="I27" i="1"/>
  <c r="I77" i="1"/>
  <c r="J13" i="1"/>
  <c r="L65" i="1"/>
  <c r="K9" i="1"/>
  <c r="K11" i="1" s="1"/>
  <c r="F101" i="1"/>
  <c r="F91" i="1"/>
  <c r="J77" i="1" l="1"/>
  <c r="J26" i="1"/>
  <c r="J27" i="1"/>
  <c r="H101" i="1"/>
  <c r="I28" i="1"/>
  <c r="I79" i="1" s="1"/>
  <c r="I83" i="1" s="1"/>
  <c r="I85" i="1" s="1"/>
  <c r="K13" i="1"/>
  <c r="L9" i="1"/>
  <c r="L11" i="1" s="1"/>
  <c r="M65" i="1"/>
  <c r="K26" i="1" l="1"/>
  <c r="K27" i="1"/>
  <c r="J28" i="1"/>
  <c r="J79" i="1" s="1"/>
  <c r="J83" i="1" s="1"/>
  <c r="J85" i="1" s="1"/>
  <c r="J87" i="1" s="1"/>
  <c r="J89" i="1" s="1"/>
  <c r="K77" i="1"/>
  <c r="L13" i="1"/>
  <c r="I87" i="1"/>
  <c r="I89" i="1" s="1"/>
  <c r="M9" i="1"/>
  <c r="M11" i="1" s="1"/>
  <c r="N65" i="1"/>
  <c r="L26" i="1" l="1"/>
  <c r="L27" i="1"/>
  <c r="L77" i="1"/>
  <c r="K28" i="1"/>
  <c r="K79" i="1" s="1"/>
  <c r="K83" i="1" s="1"/>
  <c r="K85" i="1" s="1"/>
  <c r="K87" i="1" s="1"/>
  <c r="K89" i="1" s="1"/>
  <c r="M13" i="1"/>
  <c r="J91" i="1"/>
  <c r="J101" i="1"/>
  <c r="N9" i="1"/>
  <c r="N11" i="1" s="1"/>
  <c r="O65" i="1"/>
  <c r="I91" i="1"/>
  <c r="I101" i="1"/>
  <c r="L28" i="1" l="1"/>
  <c r="L79" i="1" s="1"/>
  <c r="L83" i="1" s="1"/>
  <c r="L85" i="1" s="1"/>
  <c r="L87" i="1" s="1"/>
  <c r="L89" i="1" s="1"/>
  <c r="M26" i="1"/>
  <c r="M27" i="1"/>
  <c r="M77" i="1"/>
  <c r="N13" i="1"/>
  <c r="O9" i="1"/>
  <c r="O11" i="1" s="1"/>
  <c r="P65" i="1"/>
  <c r="K91" i="1"/>
  <c r="K101" i="1"/>
  <c r="N26" i="1" l="1"/>
  <c r="N27" i="1"/>
  <c r="M28" i="1"/>
  <c r="M79" i="1" s="1"/>
  <c r="M83" i="1" s="1"/>
  <c r="M85" i="1" s="1"/>
  <c r="M87" i="1" s="1"/>
  <c r="M89" i="1" s="1"/>
  <c r="N77" i="1"/>
  <c r="O13" i="1"/>
  <c r="P9" i="1"/>
  <c r="P11" i="1" s="1"/>
  <c r="Q65" i="1"/>
  <c r="L101" i="1"/>
  <c r="L91" i="1"/>
  <c r="O26" i="1" l="1"/>
  <c r="O27" i="1"/>
  <c r="N28" i="1"/>
  <c r="N79" i="1" s="1"/>
  <c r="N83" i="1" s="1"/>
  <c r="N85" i="1" s="1"/>
  <c r="N87" i="1" s="1"/>
  <c r="N89" i="1" s="1"/>
  <c r="M91" i="1"/>
  <c r="U93" i="1" s="1"/>
  <c r="U89" i="1"/>
  <c r="M101" i="1"/>
  <c r="O77" i="1"/>
  <c r="P13" i="1"/>
  <c r="Q9" i="1"/>
  <c r="Q11" i="1" s="1"/>
  <c r="R65" i="1"/>
  <c r="P26" i="1" l="1"/>
  <c r="P27" i="1"/>
  <c r="O28" i="1"/>
  <c r="O79" i="1" s="1"/>
  <c r="O83" i="1" s="1"/>
  <c r="O85" i="1" s="1"/>
  <c r="O87" i="1" s="1"/>
  <c r="O89" i="1" s="1"/>
  <c r="Q13" i="1"/>
  <c r="P77" i="1"/>
  <c r="R9" i="1"/>
  <c r="R11" i="1" s="1"/>
  <c r="N91" i="1"/>
  <c r="N101" i="1"/>
  <c r="E111" i="1"/>
  <c r="U98" i="1"/>
  <c r="P28" i="1" l="1"/>
  <c r="P79" i="1" s="1"/>
  <c r="P83" i="1" s="1"/>
  <c r="P85" i="1" s="1"/>
  <c r="P87" i="1" s="1"/>
  <c r="P89" i="1" s="1"/>
  <c r="Q26" i="1"/>
  <c r="Q27" i="1"/>
  <c r="Q77" i="1"/>
  <c r="R13" i="1"/>
  <c r="O101" i="1"/>
  <c r="O91" i="1"/>
  <c r="Q28" i="1" l="1"/>
  <c r="Q79" i="1" s="1"/>
  <c r="Q83" i="1" s="1"/>
  <c r="Q85" i="1" s="1"/>
  <c r="Q87" i="1" s="1"/>
  <c r="Q89" i="1" s="1"/>
  <c r="Q91" i="1" s="1"/>
  <c r="R26" i="1"/>
  <c r="R27" i="1"/>
  <c r="R77" i="1"/>
  <c r="P101" i="1"/>
  <c r="P91" i="1"/>
  <c r="R28" i="1" l="1"/>
  <c r="R79" i="1" s="1"/>
  <c r="R83" i="1" s="1"/>
  <c r="R85" i="1" s="1"/>
  <c r="R87" i="1" s="1"/>
  <c r="R89" i="1" s="1"/>
  <c r="Q101" i="1"/>
  <c r="R101" i="1" l="1"/>
  <c r="R91" i="1"/>
  <c r="U85" i="1" l="1"/>
  <c r="U87" i="1" s="1"/>
  <c r="S65" i="1" l="1"/>
  <c r="S13" i="1" l="1"/>
  <c r="E32" i="1" l="1"/>
  <c r="E36" i="1" s="1"/>
  <c r="M32" i="1"/>
  <c r="M36" i="1" s="1"/>
  <c r="K32" i="1"/>
  <c r="K36" i="1" s="1"/>
  <c r="N32" i="1"/>
  <c r="N36" i="1" s="1"/>
  <c r="O32" i="1"/>
  <c r="O36" i="1" s="1"/>
  <c r="F32" i="1"/>
  <c r="F36" i="1" s="1"/>
  <c r="R32" i="1"/>
  <c r="R36" i="1" s="1"/>
  <c r="L32" i="1"/>
  <c r="L36" i="1" s="1"/>
  <c r="J32" i="1"/>
  <c r="J36" i="1" s="1"/>
  <c r="G32" i="1"/>
  <c r="G36" i="1" s="1"/>
  <c r="I32" i="1"/>
  <c r="I36" i="1" s="1"/>
  <c r="H32" i="1"/>
  <c r="H36" i="1" s="1"/>
  <c r="Q32" i="1"/>
  <c r="Q36" i="1" s="1"/>
  <c r="P32" i="1"/>
  <c r="P36" i="1" s="1"/>
  <c r="I41" i="1" l="1"/>
  <c r="I42" i="1" s="1"/>
  <c r="I39" i="1"/>
  <c r="I50" i="1" s="1"/>
  <c r="I104" i="1"/>
  <c r="I105" i="1" s="1"/>
  <c r="I106" i="1" s="1"/>
  <c r="L41" i="1"/>
  <c r="L42" i="1" s="1"/>
  <c r="L104" i="1"/>
  <c r="L105" i="1" s="1"/>
  <c r="L106" i="1" s="1"/>
  <c r="L39" i="1"/>
  <c r="L50" i="1" s="1"/>
  <c r="O41" i="1"/>
  <c r="O42" i="1" s="1"/>
  <c r="O39" i="1"/>
  <c r="O50" i="1" s="1"/>
  <c r="O104" i="1"/>
  <c r="O105" i="1" s="1"/>
  <c r="O106" i="1" s="1"/>
  <c r="Q41" i="1"/>
  <c r="Q42" i="1" s="1"/>
  <c r="Q39" i="1"/>
  <c r="Q50" i="1" s="1"/>
  <c r="Q104" i="1"/>
  <c r="Q105" i="1" s="1"/>
  <c r="Q106" i="1" s="1"/>
  <c r="F41" i="1"/>
  <c r="F42" i="1" s="1"/>
  <c r="F39" i="1"/>
  <c r="F50" i="1" s="1"/>
  <c r="F104" i="1"/>
  <c r="F105" i="1" s="1"/>
  <c r="F106" i="1" s="1"/>
  <c r="N41" i="1"/>
  <c r="N42" i="1" s="1"/>
  <c r="N104" i="1"/>
  <c r="N105" i="1" s="1"/>
  <c r="N106" i="1" s="1"/>
  <c r="N39" i="1"/>
  <c r="N50" i="1" s="1"/>
  <c r="M41" i="1"/>
  <c r="M42" i="1" s="1"/>
  <c r="M104" i="1"/>
  <c r="M105" i="1" s="1"/>
  <c r="M106" i="1" s="1"/>
  <c r="M39" i="1"/>
  <c r="M50" i="1" s="1"/>
  <c r="H41" i="1"/>
  <c r="H42" i="1" s="1"/>
  <c r="H104" i="1"/>
  <c r="H105" i="1" s="1"/>
  <c r="H106" i="1" s="1"/>
  <c r="H39" i="1"/>
  <c r="H50" i="1" s="1"/>
  <c r="J41" i="1"/>
  <c r="J42" i="1" s="1"/>
  <c r="J39" i="1"/>
  <c r="J50" i="1" s="1"/>
  <c r="J104" i="1"/>
  <c r="J105" i="1" s="1"/>
  <c r="J106" i="1" s="1"/>
  <c r="S32" i="1"/>
  <c r="D36" i="1"/>
  <c r="K41" i="1"/>
  <c r="K42" i="1" s="1"/>
  <c r="K39" i="1"/>
  <c r="K50" i="1" s="1"/>
  <c r="K104" i="1"/>
  <c r="K105" i="1" s="1"/>
  <c r="K106" i="1" s="1"/>
  <c r="E41" i="1"/>
  <c r="E42" i="1" s="1"/>
  <c r="E39" i="1"/>
  <c r="E50" i="1" s="1"/>
  <c r="E104" i="1"/>
  <c r="E105" i="1" s="1"/>
  <c r="E106" i="1" s="1"/>
  <c r="P41" i="1"/>
  <c r="P42" i="1" s="1"/>
  <c r="P39" i="1"/>
  <c r="P50" i="1" s="1"/>
  <c r="P104" i="1"/>
  <c r="P105" i="1" s="1"/>
  <c r="P106" i="1" s="1"/>
  <c r="G41" i="1"/>
  <c r="G42" i="1" s="1"/>
  <c r="G104" i="1"/>
  <c r="G105" i="1" s="1"/>
  <c r="G106" i="1" s="1"/>
  <c r="G39" i="1"/>
  <c r="G50" i="1" s="1"/>
  <c r="R41" i="1"/>
  <c r="R42" i="1" s="1"/>
  <c r="R39" i="1"/>
  <c r="R50" i="1" s="1"/>
  <c r="R104" i="1"/>
  <c r="R105" i="1" s="1"/>
  <c r="R106" i="1" s="1"/>
  <c r="E43" i="1" l="1"/>
  <c r="E44" i="1"/>
  <c r="D41" i="1"/>
  <c r="D42" i="1" s="1"/>
  <c r="S36" i="1"/>
  <c r="D39" i="1"/>
  <c r="D104" i="1"/>
  <c r="D105" i="1" s="1"/>
  <c r="D106" i="1" s="1"/>
  <c r="D107" i="1" s="1"/>
  <c r="E107" i="1" s="1"/>
  <c r="F107" i="1" s="1"/>
  <c r="G107" i="1" s="1"/>
  <c r="H107" i="1" s="1"/>
  <c r="I107" i="1" s="1"/>
  <c r="J107" i="1" s="1"/>
  <c r="K107" i="1" s="1"/>
  <c r="L107" i="1" s="1"/>
  <c r="M107" i="1" s="1"/>
  <c r="N107" i="1" s="1"/>
  <c r="O107" i="1" s="1"/>
  <c r="P107" i="1" s="1"/>
  <c r="Q107" i="1" s="1"/>
  <c r="R107" i="1" s="1"/>
  <c r="N43" i="1"/>
  <c r="N44" i="1"/>
  <c r="I43" i="1"/>
  <c r="I44" i="1"/>
  <c r="D111" i="1"/>
  <c r="C111" i="1"/>
  <c r="F44" i="1"/>
  <c r="F43" i="1"/>
  <c r="O43" i="1"/>
  <c r="O44" i="1"/>
  <c r="R44" i="1"/>
  <c r="R43" i="1"/>
  <c r="M44" i="1"/>
  <c r="M43" i="1"/>
  <c r="Q44" i="1"/>
  <c r="Q43" i="1"/>
  <c r="G44" i="1"/>
  <c r="G43" i="1"/>
  <c r="J43" i="1"/>
  <c r="J44" i="1"/>
  <c r="P43" i="1"/>
  <c r="P44" i="1"/>
  <c r="K43" i="1"/>
  <c r="K44" i="1"/>
  <c r="H43" i="1"/>
  <c r="H44" i="1"/>
  <c r="L44" i="1"/>
  <c r="L43" i="1"/>
  <c r="M45" i="1" l="1"/>
  <c r="M46" i="1"/>
  <c r="F46" i="1"/>
  <c r="F45" i="1"/>
  <c r="G46" i="1"/>
  <c r="G45" i="1"/>
  <c r="Q46" i="1"/>
  <c r="Q45" i="1"/>
  <c r="R46" i="1"/>
  <c r="R45" i="1"/>
  <c r="O45" i="1"/>
  <c r="O46" i="1"/>
  <c r="E46" i="1"/>
  <c r="E45" i="1"/>
  <c r="L45" i="1"/>
  <c r="L46" i="1"/>
  <c r="P46" i="1"/>
  <c r="P45" i="1"/>
  <c r="J46" i="1"/>
  <c r="J45" i="1"/>
  <c r="I46" i="1"/>
  <c r="I45" i="1"/>
  <c r="D50" i="1"/>
  <c r="S50" i="1" s="1"/>
  <c r="S39" i="1"/>
  <c r="K46" i="1"/>
  <c r="K45" i="1"/>
  <c r="H46" i="1"/>
  <c r="H45" i="1"/>
  <c r="N45" i="1"/>
  <c r="N46" i="1"/>
  <c r="D44" i="1"/>
  <c r="D43" i="1"/>
  <c r="D46" i="1" l="1"/>
  <c r="D45" i="1"/>
</calcChain>
</file>

<file path=xl/sharedStrings.xml><?xml version="1.0" encoding="utf-8"?>
<sst xmlns="http://schemas.openxmlformats.org/spreadsheetml/2006/main" count="160" uniqueCount="141">
  <si>
    <t>Total ingressos</t>
  </si>
  <si>
    <t>Despeses</t>
  </si>
  <si>
    <t>Personal</t>
  </si>
  <si>
    <t>Energia elèctrica</t>
  </si>
  <si>
    <t>Compra d'aigua</t>
  </si>
  <si>
    <t>Tractament</t>
  </si>
  <si>
    <t>Transports</t>
  </si>
  <si>
    <t>Total despeses d'explotació</t>
  </si>
  <si>
    <t xml:space="preserve">Total despeses </t>
  </si>
  <si>
    <t>Resultat de l'exercici</t>
  </si>
  <si>
    <t>Any base</t>
  </si>
  <si>
    <t>CRITERIS</t>
  </si>
  <si>
    <t>Increment població</t>
  </si>
  <si>
    <t>Increment cost personal</t>
  </si>
  <si>
    <t>Increment preu compra aigua</t>
  </si>
  <si>
    <t>Increment energia elèctrica</t>
  </si>
  <si>
    <t>Increment resta de costos</t>
  </si>
  <si>
    <t xml:space="preserve">Retribució de la inversió </t>
  </si>
  <si>
    <t>Cost financer del net revertible</t>
  </si>
  <si>
    <t>Inversions anuals (€)</t>
  </si>
  <si>
    <t>Inversió acumulada (€)</t>
  </si>
  <si>
    <t>Amortització anual (€)</t>
  </si>
  <si>
    <t>Amortització acumulada (€)</t>
  </si>
  <si>
    <t>Net revertible (€)</t>
  </si>
  <si>
    <t>m3 subministrats</t>
  </si>
  <si>
    <t>Rendiment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</si>
  <si>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facturats</t>
    </r>
  </si>
  <si>
    <t>Increment volum venda aigua per abonat</t>
  </si>
  <si>
    <t>DESPESES D'EXPLOTACIÓ</t>
  </si>
  <si>
    <t>Retribució inversió</t>
  </si>
  <si>
    <t>RESULTAT DE L'EXERCICI</t>
  </si>
  <si>
    <t>CASH-FLOW OPERATIU</t>
  </si>
  <si>
    <t>CASH-FLOW NET</t>
  </si>
  <si>
    <t>CASH-FLOW NET ACTUALITZAT</t>
  </si>
  <si>
    <t>VALOR ACTUALITZAT NET (VAN)</t>
  </si>
  <si>
    <t xml:space="preserve">Taxa de descompte aplicada </t>
  </si>
  <si>
    <t>Inversió anual</t>
  </si>
  <si>
    <t>Inversió anual actualitzada</t>
  </si>
  <si>
    <t>VAN INVERSIONS</t>
  </si>
  <si>
    <t>TIR</t>
  </si>
  <si>
    <t>ROI = Rendibilidad de la inversió</t>
  </si>
  <si>
    <t>Per calcular la TIR, es cerquen les entrades i sortides de capital anuals: En el nostre cas es calculen per diferència entre l'inversió anual menys el cash flow net:</t>
  </si>
  <si>
    <t>Calculada per la relació entre el VAN del Cash flow amb el VAN de les inversions anuals</t>
  </si>
  <si>
    <t>Diferència VAN Cash flow -VAN Inversions</t>
  </si>
  <si>
    <t>Increment anual tarifa mitjana</t>
  </si>
  <si>
    <t>Retribució teòrica del concessionari</t>
  </si>
  <si>
    <t>TOTAL DESPESES (sense retr.concessionari)</t>
  </si>
  <si>
    <t>Amortització inversió</t>
  </si>
  <si>
    <t>El mateix resultat s'obté veient quin es el valor que s'ha de donar a la taxa de descompte, per obtenir que la diferència entre el Van del cash flow-VAN de les inversions sigui 0</t>
  </si>
  <si>
    <t>Total amortiz.</t>
  </si>
  <si>
    <t>Cost finanancer</t>
  </si>
  <si>
    <t>Total</t>
  </si>
  <si>
    <t>Suma resultats</t>
  </si>
  <si>
    <t>Suma retrib.</t>
  </si>
  <si>
    <t xml:space="preserve"> </t>
  </si>
  <si>
    <t>Cash-Flow net</t>
  </si>
  <si>
    <t>Totals reals</t>
  </si>
  <si>
    <t>Retribució concessionari</t>
  </si>
  <si>
    <t>Excés retrib</t>
  </si>
  <si>
    <t>Amortització de les inversions</t>
  </si>
  <si>
    <t>m3 facturats</t>
  </si>
  <si>
    <t>Despeses constitució i licitació</t>
  </si>
  <si>
    <t>Retribució del concessionari</t>
  </si>
  <si>
    <t>Aval garantia definitiva</t>
  </si>
  <si>
    <t>Import de Transmissions Patrimonials</t>
  </si>
  <si>
    <t>Impagats</t>
  </si>
  <si>
    <t xml:space="preserve">Tarifa mitjana servei aigua </t>
  </si>
  <si>
    <t>Resultat + Retribució</t>
  </si>
  <si>
    <t>Import PEC s.IVA</t>
  </si>
  <si>
    <t>Tarifa Mitjana Global</t>
  </si>
  <si>
    <t>EL RESULTAT FINAL DE LA SUMA DELS EXERCICIS HA DE SER POSITIU</t>
  </si>
  <si>
    <t>Generals</t>
  </si>
  <si>
    <t>Impostos i taxes</t>
  </si>
  <si>
    <t>Retribució sobre despeses</t>
  </si>
  <si>
    <t>Retribució sobre compra d'aigua</t>
  </si>
  <si>
    <t>Inversió - Cash Flow Net</t>
  </si>
  <si>
    <t>VAN</t>
  </si>
  <si>
    <t xml:space="preserve">ROI </t>
  </si>
  <si>
    <t>Net revertible equilibri tarifa</t>
  </si>
  <si>
    <t>Despeses brutes</t>
  </si>
  <si>
    <t>Resultat brut d'explotació</t>
  </si>
  <si>
    <t>EBITDA</t>
  </si>
  <si>
    <t>Resultat brut d'explotació - Amortització anual</t>
  </si>
  <si>
    <t xml:space="preserve">EBIT </t>
  </si>
  <si>
    <t>Resultat abans d'impostos</t>
  </si>
  <si>
    <t>Inversions Previstes</t>
  </si>
  <si>
    <t>Fons de reposició</t>
  </si>
  <si>
    <t xml:space="preserve">Flux de caixa lliure </t>
  </si>
  <si>
    <t>Flux de caixa lliure descomptat</t>
  </si>
  <si>
    <t>Flux de caixa lliure descomptat acumulat</t>
  </si>
  <si>
    <t>Periode de recuperació de la inversió</t>
  </si>
  <si>
    <t>Ingressos aigua</t>
  </si>
  <si>
    <t>Taxa de descompte: s'aplica una taxa de descompte equivalents al rendiment mitjà en el mercat secundari del deute de l'Estat a 10 anys en el últims 6 mesos incrementat en un diferencial de 200 punts básics.</t>
  </si>
  <si>
    <t>Materials de conservació i treballs de tercers</t>
  </si>
  <si>
    <t>Costos indirectes</t>
  </si>
  <si>
    <t xml:space="preserve">Canon Ajuntament </t>
  </si>
  <si>
    <t>Ingressos clavegueram</t>
  </si>
  <si>
    <t>Ingressos aigua potable</t>
  </si>
  <si>
    <t>m3 registrats</t>
  </si>
  <si>
    <t>Aquest valor de abril 2023 a setembre 2023 correspon a 3,51% + 2% = 5,51%</t>
  </si>
  <si>
    <t>EL/OA</t>
  </si>
  <si>
    <t>EPEL</t>
  </si>
  <si>
    <t>SML</t>
  </si>
  <si>
    <t>CONCESSIÓ</t>
  </si>
  <si>
    <t>S. MIXTA</t>
  </si>
  <si>
    <t>-</t>
  </si>
  <si>
    <t>CONCEPTE</t>
  </si>
  <si>
    <t>INGRESSOS</t>
  </si>
  <si>
    <t>Comptadors</t>
  </si>
  <si>
    <t>DESPESES</t>
  </si>
  <si>
    <t>Compra aigua</t>
  </si>
  <si>
    <t>Despeses generals</t>
  </si>
  <si>
    <t>Retribució</t>
  </si>
  <si>
    <t>Total despeses clavegueram</t>
  </si>
  <si>
    <t>Inversions</t>
  </si>
  <si>
    <t>Total Inversió</t>
  </si>
  <si>
    <t>Durada 15 anys</t>
  </si>
  <si>
    <t>Valor increment rendiment anual</t>
  </si>
  <si>
    <t>Ingressos no tarifaris</t>
  </si>
  <si>
    <t>Impagats (1,8%)</t>
  </si>
  <si>
    <t xml:space="preserve">12 % sobre despeses d'explotació </t>
  </si>
  <si>
    <t>Inversions a realitzar en els 15 anys de concessió</t>
  </si>
  <si>
    <t>Seguiment i control (0,7%)</t>
  </si>
  <si>
    <t>Amb les millores, el rendiment augmenta en 15 punts, fins el 65%</t>
  </si>
  <si>
    <t>Any 1</t>
  </si>
  <si>
    <t>Any 2</t>
  </si>
  <si>
    <t>Any 3</t>
  </si>
  <si>
    <t>Any 4</t>
  </si>
  <si>
    <t>Any 5</t>
  </si>
  <si>
    <t>Any 6</t>
  </si>
  <si>
    <t>Any 7</t>
  </si>
  <si>
    <t>Any 8</t>
  </si>
  <si>
    <t>Any 9</t>
  </si>
  <si>
    <t>Any 10</t>
  </si>
  <si>
    <t>Any 11</t>
  </si>
  <si>
    <t>Any 12</t>
  </si>
  <si>
    <t>Any 13</t>
  </si>
  <si>
    <t>Any 14</t>
  </si>
  <si>
    <t>Any 15</t>
  </si>
  <si>
    <t>Amortitzacions en el període restant de la concessió, a partir de l'any 1</t>
  </si>
  <si>
    <t>T+B77:U122OTAL INGRESSOS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</si>
</sst>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164" formatCode="0.0000"/>
    <numFmt numFmtId="165" formatCode="0.0%"/>
    <numFmt numFmtId="166" formatCode="#,##0_ ;[Red]\-#,##0\ "/>
  </numFmts>
  <fonts count="3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Helvetica"/>
      <family val="2"/>
    </font>
    <font>
      <sz val="10"/>
      <name val="Helvetica"/>
      <family val="2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u/>
      <sz val="16"/>
      <color rgb="FF0070C0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Arial Narrow"/>
      <family val="2"/>
    </font>
    <font>
      <i/>
      <sz val="12"/>
      <color theme="1"/>
      <name val="Arial Narrow"/>
      <family val="2"/>
    </font>
    <font>
      <sz val="11"/>
      <color rgb="FFFA7D0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b/>
      <sz val="8"/>
      <color theme="0"/>
      <name val="Lato"/>
    </font>
    <font>
      <sz val="8"/>
      <color theme="1"/>
      <name val="Lato"/>
    </font>
    <font>
      <b/>
      <sz val="8"/>
      <color theme="1"/>
      <name val="Lato"/>
    </font>
    <font>
      <sz val="8"/>
      <color theme="0"/>
      <name val="Lato"/>
    </font>
    <font>
      <sz val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theme="8"/>
      </left>
      <right style="thin">
        <color theme="8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theme="4" tint="0.399945066682943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4" tint="0.39994506668294322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/>
      <diagonal/>
    </border>
    <border>
      <left style="thin">
        <color theme="8" tint="0.59999389629810485"/>
      </left>
      <right style="thin">
        <color theme="8" tint="0.59999389629810485"/>
      </right>
      <top/>
      <bottom style="thin">
        <color theme="8" tint="0.59999389629810485"/>
      </bottom>
      <diagonal/>
    </border>
    <border>
      <left style="thin">
        <color theme="8" tint="0.59999389629810485"/>
      </left>
      <right/>
      <top style="thin">
        <color theme="8" tint="0.59999389629810485"/>
      </top>
      <bottom style="thin">
        <color theme="8" tint="0.59999389629810485"/>
      </bottom>
      <diagonal/>
    </border>
    <border>
      <left/>
      <right/>
      <top style="thin">
        <color theme="8" tint="0.59999389629810485"/>
      </top>
      <bottom style="thin">
        <color theme="8" tint="0.59999389629810485"/>
      </bottom>
      <diagonal/>
    </border>
    <border>
      <left style="thin">
        <color theme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/>
      <right/>
      <top/>
      <bottom style="thin">
        <color theme="8" tint="0.59999389629810485"/>
      </bottom>
      <diagonal/>
    </border>
  </borders>
  <cellStyleXfs count="20">
    <xf numFmtId="0" fontId="0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2" fillId="0" borderId="0" applyFont="0" applyFill="0" applyBorder="0" applyAlignment="0" applyProtection="0"/>
    <xf numFmtId="9" fontId="8" fillId="0" borderId="0" applyFont="0" applyFill="0" applyBorder="0" applyAlignment="0" applyProtection="0"/>
    <xf numFmtId="4" fontId="16" fillId="0" borderId="0"/>
    <xf numFmtId="0" fontId="22" fillId="0" borderId="17" applyNumberFormat="0" applyFill="0" applyAlignment="0" applyProtection="0"/>
    <xf numFmtId="9" fontId="8" fillId="0" borderId="0" applyFont="0" applyFill="0" applyBorder="0" applyAlignment="0" applyProtection="0"/>
  </cellStyleXfs>
  <cellXfs count="171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0" fillId="0" borderId="3" xfId="0" applyBorder="1"/>
    <xf numFmtId="10" fontId="0" fillId="0" borderId="3" xfId="0" applyNumberFormat="1" applyBorder="1"/>
    <xf numFmtId="9" fontId="0" fillId="0" borderId="3" xfId="0" applyNumberFormat="1" applyBorder="1"/>
    <xf numFmtId="0" fontId="0" fillId="0" borderId="1" xfId="0" applyBorder="1"/>
    <xf numFmtId="10" fontId="0" fillId="0" borderId="1" xfId="0" applyNumberFormat="1" applyBorder="1"/>
    <xf numFmtId="0" fontId="3" fillId="0" borderId="0" xfId="0" applyFont="1"/>
    <xf numFmtId="0" fontId="4" fillId="0" borderId="0" xfId="0" applyFont="1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3" fontId="0" fillId="3" borderId="0" xfId="0" applyNumberFormat="1" applyFill="1"/>
    <xf numFmtId="3" fontId="2" fillId="4" borderId="13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3" fontId="0" fillId="0" borderId="0" xfId="0" applyNumberFormat="1"/>
    <xf numFmtId="3" fontId="2" fillId="6" borderId="0" xfId="0" applyNumberFormat="1" applyFont="1" applyFill="1"/>
    <xf numFmtId="0" fontId="14" fillId="6" borderId="4" xfId="0" applyFont="1" applyFill="1" applyBorder="1"/>
    <xf numFmtId="3" fontId="15" fillId="6" borderId="5" xfId="0" applyNumberFormat="1" applyFont="1" applyFill="1" applyBorder="1"/>
    <xf numFmtId="0" fontId="0" fillId="0" borderId="14" xfId="0" applyBorder="1"/>
    <xf numFmtId="3" fontId="0" fillId="0" borderId="14" xfId="0" applyNumberFormat="1" applyBorder="1"/>
    <xf numFmtId="3" fontId="10" fillId="6" borderId="4" xfId="0" applyNumberFormat="1" applyFont="1" applyFill="1" applyBorder="1" applyAlignment="1">
      <alignment horizontal="right"/>
    </xf>
    <xf numFmtId="3" fontId="2" fillId="6" borderId="5" xfId="0" applyNumberFormat="1" applyFont="1" applyFill="1" applyBorder="1"/>
    <xf numFmtId="0" fontId="17" fillId="0" borderId="0" xfId="0" applyFont="1"/>
    <xf numFmtId="0" fontId="18" fillId="0" borderId="0" xfId="0" applyFont="1"/>
    <xf numFmtId="0" fontId="2" fillId="0" borderId="14" xfId="0" applyFont="1" applyBorder="1"/>
    <xf numFmtId="3" fontId="2" fillId="0" borderId="14" xfId="0" applyNumberFormat="1" applyFont="1" applyBorder="1"/>
    <xf numFmtId="0" fontId="21" fillId="0" borderId="0" xfId="0" applyFont="1" applyAlignment="1">
      <alignment vertical="center"/>
    </xf>
    <xf numFmtId="3" fontId="21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3" fontId="0" fillId="3" borderId="18" xfId="0" applyNumberFormat="1" applyFill="1" applyBorder="1"/>
    <xf numFmtId="3" fontId="0" fillId="8" borderId="0" xfId="0" applyNumberFormat="1" applyFill="1"/>
    <xf numFmtId="3" fontId="9" fillId="8" borderId="0" xfId="0" applyNumberFormat="1" applyFont="1" applyFill="1"/>
    <xf numFmtId="0" fontId="0" fillId="0" borderId="0" xfId="0" applyAlignment="1">
      <alignment vertical="center" wrapText="1"/>
    </xf>
    <xf numFmtId="0" fontId="2" fillId="0" borderId="19" xfId="0" applyFont="1" applyBorder="1"/>
    <xf numFmtId="0" fontId="2" fillId="0" borderId="20" xfId="0" applyFont="1" applyBorder="1"/>
    <xf numFmtId="0" fontId="2" fillId="0" borderId="6" xfId="0" applyFont="1" applyBorder="1"/>
    <xf numFmtId="3" fontId="2" fillId="3" borderId="4" xfId="0" applyNumberFormat="1" applyFont="1" applyFill="1" applyBorder="1"/>
    <xf numFmtId="0" fontId="0" fillId="0" borderId="22" xfId="0" applyBorder="1"/>
    <xf numFmtId="3" fontId="2" fillId="9" borderId="4" xfId="0" applyNumberFormat="1" applyFont="1" applyFill="1" applyBorder="1"/>
    <xf numFmtId="3" fontId="2" fillId="9" borderId="21" xfId="0" applyNumberFormat="1" applyFont="1" applyFill="1" applyBorder="1"/>
    <xf numFmtId="3" fontId="10" fillId="9" borderId="4" xfId="0" applyNumberFormat="1" applyFont="1" applyFill="1" applyBorder="1"/>
    <xf numFmtId="3" fontId="0" fillId="8" borderId="14" xfId="0" applyNumberFormat="1" applyFill="1" applyBorder="1"/>
    <xf numFmtId="3" fontId="9" fillId="0" borderId="0" xfId="0" applyNumberFormat="1" applyFont="1"/>
    <xf numFmtId="0" fontId="9" fillId="0" borderId="2" xfId="0" applyFont="1" applyBorder="1"/>
    <xf numFmtId="10" fontId="9" fillId="0" borderId="2" xfId="0" applyNumberFormat="1" applyFont="1" applyBorder="1"/>
    <xf numFmtId="0" fontId="23" fillId="0" borderId="0" xfId="0" applyFont="1" applyAlignment="1">
      <alignment horizontal="center"/>
    </xf>
    <xf numFmtId="0" fontId="2" fillId="4" borderId="23" xfId="0" applyFont="1" applyFill="1" applyBorder="1" applyAlignment="1">
      <alignment vertical="center"/>
    </xf>
    <xf numFmtId="0" fontId="0" fillId="11" borderId="13" xfId="0" applyFill="1" applyBorder="1"/>
    <xf numFmtId="0" fontId="0" fillId="0" borderId="8" xfId="0" applyBorder="1" applyAlignment="1">
      <alignment vertical="center"/>
    </xf>
    <xf numFmtId="0" fontId="0" fillId="0" borderId="10" xfId="0" applyBorder="1"/>
    <xf numFmtId="3" fontId="0" fillId="0" borderId="16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/>
    <xf numFmtId="3" fontId="9" fillId="0" borderId="16" xfId="0" applyNumberFormat="1" applyFont="1" applyBorder="1" applyAlignment="1">
      <alignment vertical="center"/>
    </xf>
    <xf numFmtId="0" fontId="2" fillId="4" borderId="24" xfId="0" applyFont="1" applyFill="1" applyBorder="1" applyAlignment="1">
      <alignment vertical="center"/>
    </xf>
    <xf numFmtId="0" fontId="0" fillId="11" borderId="7" xfId="0" applyFill="1" applyBorder="1"/>
    <xf numFmtId="0" fontId="2" fillId="4" borderId="6" xfId="0" applyFont="1" applyFill="1" applyBorder="1" applyAlignment="1">
      <alignment vertical="center"/>
    </xf>
    <xf numFmtId="0" fontId="0" fillId="11" borderId="4" xfId="0" applyFill="1" applyBorder="1"/>
    <xf numFmtId="3" fontId="2" fillId="4" borderId="4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0" fillId="6" borderId="0" xfId="0" applyFont="1" applyFill="1"/>
    <xf numFmtId="0" fontId="0" fillId="6" borderId="0" xfId="0" applyFill="1"/>
    <xf numFmtId="0" fontId="10" fillId="0" borderId="0" xfId="0" applyFont="1"/>
    <xf numFmtId="0" fontId="10" fillId="6" borderId="25" xfId="0" applyFont="1" applyFill="1" applyBorder="1"/>
    <xf numFmtId="0" fontId="0" fillId="6" borderId="25" xfId="0" applyFill="1" applyBorder="1"/>
    <xf numFmtId="3" fontId="10" fillId="6" borderId="25" xfId="0" applyNumberFormat="1" applyFont="1" applyFill="1" applyBorder="1" applyAlignment="1">
      <alignment horizontal="right"/>
    </xf>
    <xf numFmtId="0" fontId="10" fillId="6" borderId="6" xfId="0" applyFont="1" applyFill="1" applyBorder="1"/>
    <xf numFmtId="0" fontId="0" fillId="6" borderId="4" xfId="0" applyFill="1" applyBorder="1"/>
    <xf numFmtId="0" fontId="10" fillId="6" borderId="15" xfId="0" applyFont="1" applyFill="1" applyBorder="1"/>
    <xf numFmtId="0" fontId="0" fillId="6" borderId="16" xfId="0" applyFill="1" applyBorder="1"/>
    <xf numFmtId="3" fontId="0" fillId="6" borderId="26" xfId="0" applyNumberFormat="1" applyFill="1" applyBorder="1"/>
    <xf numFmtId="3" fontId="10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2" fillId="6" borderId="15" xfId="0" applyFont="1" applyFill="1" applyBorder="1"/>
    <xf numFmtId="0" fontId="0" fillId="6" borderId="13" xfId="0" applyFill="1" applyBorder="1"/>
    <xf numFmtId="3" fontId="0" fillId="6" borderId="13" xfId="0" applyNumberFormat="1" applyFill="1" applyBorder="1"/>
    <xf numFmtId="0" fontId="2" fillId="6" borderId="27" xfId="0" applyFont="1" applyFill="1" applyBorder="1" applyAlignment="1">
      <alignment horizontal="center"/>
    </xf>
    <xf numFmtId="0" fontId="2" fillId="6" borderId="28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7" xfId="0" applyBorder="1"/>
    <xf numFmtId="0" fontId="9" fillId="0" borderId="14" xfId="0" applyFont="1" applyBorder="1"/>
    <xf numFmtId="3" fontId="9" fillId="0" borderId="14" xfId="0" applyNumberFormat="1" applyFont="1" applyBorder="1"/>
    <xf numFmtId="0" fontId="2" fillId="6" borderId="4" xfId="0" applyFont="1" applyFill="1" applyBorder="1"/>
    <xf numFmtId="10" fontId="0" fillId="0" borderId="0" xfId="19" applyNumberFormat="1" applyFont="1"/>
    <xf numFmtId="0" fontId="0" fillId="11" borderId="0" xfId="0" applyFill="1"/>
    <xf numFmtId="0" fontId="0" fillId="0" borderId="31" xfId="0" applyBorder="1"/>
    <xf numFmtId="3" fontId="0" fillId="9" borderId="31" xfId="0" applyNumberFormat="1" applyFill="1" applyBorder="1"/>
    <xf numFmtId="3" fontId="9" fillId="9" borderId="31" xfId="0" applyNumberFormat="1" applyFont="1" applyFill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33" xfId="0" applyNumberFormat="1" applyBorder="1"/>
    <xf numFmtId="3" fontId="5" fillId="9" borderId="31" xfId="0" applyNumberFormat="1" applyFont="1" applyFill="1" applyBorder="1"/>
    <xf numFmtId="3" fontId="6" fillId="9" borderId="31" xfId="0" applyNumberFormat="1" applyFont="1" applyFill="1" applyBorder="1"/>
    <xf numFmtId="3" fontId="0" fillId="11" borderId="0" xfId="0" applyNumberFormat="1" applyFill="1"/>
    <xf numFmtId="3" fontId="22" fillId="5" borderId="31" xfId="18" applyNumberFormat="1" applyFill="1" applyBorder="1"/>
    <xf numFmtId="3" fontId="5" fillId="0" borderId="31" xfId="0" applyNumberFormat="1" applyFont="1" applyBorder="1"/>
    <xf numFmtId="3" fontId="6" fillId="0" borderId="31" xfId="0" applyNumberFormat="1" applyFont="1" applyBorder="1"/>
    <xf numFmtId="2" fontId="0" fillId="3" borderId="0" xfId="0" applyNumberFormat="1" applyFill="1"/>
    <xf numFmtId="164" fontId="0" fillId="3" borderId="0" xfId="0" applyNumberFormat="1" applyFill="1"/>
    <xf numFmtId="2" fontId="0" fillId="0" borderId="31" xfId="0" applyNumberFormat="1" applyBorder="1"/>
    <xf numFmtId="164" fontId="0" fillId="9" borderId="31" xfId="0" applyNumberFormat="1" applyFill="1" applyBorder="1"/>
    <xf numFmtId="10" fontId="0" fillId="8" borderId="31" xfId="0" applyNumberFormat="1" applyFill="1" applyBorder="1"/>
    <xf numFmtId="3" fontId="0" fillId="9" borderId="34" xfId="0" applyNumberFormat="1" applyFill="1" applyBorder="1"/>
    <xf numFmtId="3" fontId="0" fillId="9" borderId="35" xfId="0" applyNumberFormat="1" applyFill="1" applyBorder="1"/>
    <xf numFmtId="3" fontId="0" fillId="9" borderId="36" xfId="0" applyNumberFormat="1" applyFill="1" applyBorder="1"/>
    <xf numFmtId="0" fontId="0" fillId="0" borderId="37" xfId="0" applyBorder="1"/>
    <xf numFmtId="0" fontId="9" fillId="8" borderId="8" xfId="0" applyFont="1" applyFill="1" applyBorder="1" applyAlignment="1">
      <alignment vertical="center" wrapText="1"/>
    </xf>
    <xf numFmtId="0" fontId="0" fillId="8" borderId="11" xfId="0" applyFill="1" applyBorder="1"/>
    <xf numFmtId="165" fontId="0" fillId="8" borderId="2" xfId="19" applyNumberFormat="1" applyFont="1" applyFill="1" applyBorder="1"/>
    <xf numFmtId="9" fontId="0" fillId="8" borderId="1" xfId="19" applyFont="1" applyFill="1" applyBorder="1"/>
    <xf numFmtId="3" fontId="9" fillId="8" borderId="14" xfId="0" applyNumberFormat="1" applyFont="1" applyFill="1" applyBorder="1"/>
    <xf numFmtId="0" fontId="2" fillId="0" borderId="2" xfId="0" applyFont="1" applyBorder="1"/>
    <xf numFmtId="0" fontId="19" fillId="7" borderId="2" xfId="0" applyFont="1" applyFill="1" applyBorder="1"/>
    <xf numFmtId="10" fontId="9" fillId="0" borderId="10" xfId="19" applyNumberFormat="1" applyFont="1" applyBorder="1"/>
    <xf numFmtId="0" fontId="10" fillId="0" borderId="12" xfId="0" applyFont="1" applyBorder="1"/>
    <xf numFmtId="0" fontId="0" fillId="12" borderId="0" xfId="0" applyFill="1"/>
    <xf numFmtId="6" fontId="10" fillId="9" borderId="29" xfId="0" applyNumberFormat="1" applyFont="1" applyFill="1" applyBorder="1" applyAlignment="1">
      <alignment horizontal="center"/>
    </xf>
    <xf numFmtId="10" fontId="2" fillId="9" borderId="30" xfId="0" applyNumberFormat="1" applyFont="1" applyFill="1" applyBorder="1" applyAlignment="1">
      <alignment horizontal="center"/>
    </xf>
    <xf numFmtId="2" fontId="2" fillId="9" borderId="29" xfId="0" applyNumberFormat="1" applyFont="1" applyFill="1" applyBorder="1" applyAlignment="1">
      <alignment horizontal="center"/>
    </xf>
    <xf numFmtId="166" fontId="0" fillId="0" borderId="0" xfId="0" applyNumberFormat="1"/>
    <xf numFmtId="3" fontId="2" fillId="9" borderId="38" xfId="0" applyNumberFormat="1" applyFont="1" applyFill="1" applyBorder="1"/>
    <xf numFmtId="3" fontId="9" fillId="9" borderId="36" xfId="0" applyNumberFormat="1" applyFont="1" applyFill="1" applyBorder="1"/>
    <xf numFmtId="3" fontId="0" fillId="0" borderId="36" xfId="0" applyNumberFormat="1" applyBorder="1"/>
    <xf numFmtId="3" fontId="5" fillId="9" borderId="36" xfId="0" applyNumberFormat="1" applyFont="1" applyFill="1" applyBorder="1"/>
    <xf numFmtId="3" fontId="6" fillId="9" borderId="36" xfId="0" applyNumberFormat="1" applyFont="1" applyFill="1" applyBorder="1"/>
    <xf numFmtId="3" fontId="6" fillId="0" borderId="36" xfId="0" applyNumberFormat="1" applyFont="1" applyBorder="1"/>
    <xf numFmtId="0" fontId="0" fillId="0" borderId="36" xfId="0" applyBorder="1"/>
    <xf numFmtId="3" fontId="2" fillId="9" borderId="5" xfId="0" applyNumberFormat="1" applyFont="1" applyFill="1" applyBorder="1"/>
    <xf numFmtId="3" fontId="2" fillId="9" borderId="5" xfId="0" applyNumberFormat="1" applyFont="1" applyFill="1" applyBorder="1" applyAlignment="1">
      <alignment vertical="center" wrapText="1"/>
    </xf>
    <xf numFmtId="3" fontId="10" fillId="10" borderId="5" xfId="0" applyNumberFormat="1" applyFont="1" applyFill="1" applyBorder="1"/>
    <xf numFmtId="3" fontId="0" fillId="9" borderId="39" xfId="0" applyNumberFormat="1" applyFill="1" applyBorder="1"/>
    <xf numFmtId="3" fontId="2" fillId="9" borderId="39" xfId="0" applyNumberFormat="1" applyFont="1" applyFill="1" applyBorder="1"/>
    <xf numFmtId="164" fontId="0" fillId="9" borderId="39" xfId="0" applyNumberFormat="1" applyFill="1" applyBorder="1" applyAlignment="1">
      <alignment horizontal="right"/>
    </xf>
    <xf numFmtId="0" fontId="2" fillId="0" borderId="16" xfId="0" applyFont="1" applyBorder="1"/>
    <xf numFmtId="3" fontId="2" fillId="9" borderId="16" xfId="0" applyNumberFormat="1" applyFont="1" applyFill="1" applyBorder="1"/>
    <xf numFmtId="10" fontId="0" fillId="0" borderId="0" xfId="19" applyNumberFormat="1" applyFont="1" applyFill="1" applyBorder="1"/>
    <xf numFmtId="3" fontId="0" fillId="8" borderId="15" xfId="0" applyNumberFormat="1" applyFill="1" applyBorder="1"/>
    <xf numFmtId="3" fontId="0" fillId="0" borderId="13" xfId="0" applyNumberFormat="1" applyBorder="1" applyAlignment="1">
      <alignment vertical="center"/>
    </xf>
    <xf numFmtId="3" fontId="9" fillId="0" borderId="13" xfId="0" applyNumberFormat="1" applyFont="1" applyBorder="1" applyAlignment="1">
      <alignment vertical="center"/>
    </xf>
    <xf numFmtId="3" fontId="0" fillId="6" borderId="15" xfId="0" applyNumberFormat="1" applyFill="1" applyBorder="1"/>
    <xf numFmtId="0" fontId="2" fillId="0" borderId="0" xfId="0" applyFont="1" applyAlignment="1">
      <alignment horizontal="right"/>
    </xf>
    <xf numFmtId="3" fontId="6" fillId="0" borderId="0" xfId="0" applyNumberFormat="1" applyFont="1"/>
    <xf numFmtId="0" fontId="24" fillId="0" borderId="0" xfId="0" applyFont="1" applyAlignment="1">
      <alignment horizontal="center"/>
    </xf>
    <xf numFmtId="0" fontId="25" fillId="2" borderId="0" xfId="0" applyFont="1" applyFill="1"/>
    <xf numFmtId="0" fontId="26" fillId="0" borderId="0" xfId="0" applyFont="1"/>
    <xf numFmtId="3" fontId="26" fillId="13" borderId="0" xfId="0" applyNumberFormat="1" applyFont="1" applyFill="1"/>
    <xf numFmtId="166" fontId="26" fillId="0" borderId="0" xfId="0" applyNumberFormat="1" applyFont="1"/>
    <xf numFmtId="0" fontId="28" fillId="2" borderId="0" xfId="0" applyFont="1" applyFill="1"/>
    <xf numFmtId="0" fontId="28" fillId="13" borderId="0" xfId="0" applyFont="1" applyFill="1"/>
    <xf numFmtId="0" fontId="26" fillId="5" borderId="0" xfId="0" applyFont="1" applyFill="1"/>
    <xf numFmtId="0" fontId="27" fillId="5" borderId="13" xfId="0" applyFont="1" applyFill="1" applyBorder="1"/>
    <xf numFmtId="0" fontId="25" fillId="13" borderId="0" xfId="0" applyFont="1" applyFill="1"/>
    <xf numFmtId="0" fontId="26" fillId="5" borderId="0" xfId="0" applyFont="1" applyFill="1" applyAlignment="1">
      <alignment wrapText="1"/>
    </xf>
    <xf numFmtId="3" fontId="26" fillId="0" borderId="0" xfId="0" applyNumberFormat="1" applyFont="1"/>
    <xf numFmtId="3" fontId="27" fillId="0" borderId="13" xfId="0" applyNumberFormat="1" applyFont="1" applyBorder="1"/>
    <xf numFmtId="0" fontId="0" fillId="0" borderId="0" xfId="0" applyAlignment="1">
      <alignment horizontal="center" wrapText="1"/>
    </xf>
    <xf numFmtId="0" fontId="0" fillId="0" borderId="40" xfId="0" applyBorder="1" applyAlignment="1">
      <alignment horizontal="center" wrapText="1"/>
    </xf>
    <xf numFmtId="10" fontId="0" fillId="8" borderId="3" xfId="0" applyNumberFormat="1" applyFill="1" applyBorder="1" applyAlignment="1">
      <alignment horizontal="right" vertical="center" wrapText="1"/>
    </xf>
    <xf numFmtId="0" fontId="0" fillId="0" borderId="14" xfId="0" applyBorder="1" applyAlignment="1">
      <alignment horizont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10" borderId="14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left" vertical="center" wrapText="1"/>
    </xf>
  </cellXfs>
  <cellStyles count="20">
    <cellStyle name="Celda vinculada" xfId="18" builtinId="24"/>
    <cellStyle name="Normal" xfId="0" builtinId="0"/>
    <cellStyle name="Normal 10" xfId="4" xr:uid="{C34F25EE-9C6D-40D2-ACDA-205CC304F83B}"/>
    <cellStyle name="Normal 10 2" xfId="5" xr:uid="{5AF98275-5DEC-4817-BE3F-ACD4BBC4DB00}"/>
    <cellStyle name="Normal 11" xfId="6" xr:uid="{059E5DE3-4670-4C5E-A036-C83424EE8D47}"/>
    <cellStyle name="Normal 12" xfId="17" xr:uid="{B2EC3E67-316B-49C3-8BB4-BB616240CC4C}"/>
    <cellStyle name="Normal 2" xfId="1" xr:uid="{083A3F48-8D03-4381-8AD9-A6C812C6E084}"/>
    <cellStyle name="Normal 2 2" xfId="2" xr:uid="{6516C351-1018-41BB-A10A-6CAE2C41EC54}"/>
    <cellStyle name="Normal 3" xfId="7" xr:uid="{A279752D-1E76-4883-B190-C3974D41A2F3}"/>
    <cellStyle name="Normal 4" xfId="8" xr:uid="{9BE8C1C6-FE22-4593-AEAE-2C9BCD2A50D2}"/>
    <cellStyle name="Normal 4 2" xfId="9" xr:uid="{83F52EC9-DB2E-4F1D-96C0-844176A2A835}"/>
    <cellStyle name="Normal 5" xfId="10" xr:uid="{FC4B6CC3-8214-4B97-BB72-D2E4113325DA}"/>
    <cellStyle name="Normal 6" xfId="11" xr:uid="{89658DDB-B6E8-41B0-B6D2-B0D09D529149}"/>
    <cellStyle name="Normal 7" xfId="12" xr:uid="{298B9570-0BB5-4D69-8C1D-6FA43224174A}"/>
    <cellStyle name="Normal 8" xfId="13" xr:uid="{CE70999B-8A9A-48B0-BAC0-1EC34AA93FDE}"/>
    <cellStyle name="Normal 9" xfId="14" xr:uid="{24D064B1-6977-4E6E-AF6D-91980FFA45FB}"/>
    <cellStyle name="Porcentaje" xfId="19" builtinId="5"/>
    <cellStyle name="Porcentaje 2" xfId="3" xr:uid="{38E01D92-0794-43FA-96E8-92F6DBDF540A}"/>
    <cellStyle name="Porcentaje 3" xfId="15" xr:uid="{0177B834-75FC-4CC4-81E9-A9C1B9A936D7}"/>
    <cellStyle name="Porcentaje 6" xfId="16" xr:uid="{BA348D8D-583F-4778-8BCF-5B2342254C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3669A-CF2A-4E38-9A13-102C45BBF2CA}">
  <sheetPr>
    <tabColor rgb="FF00B050"/>
    <pageSetUpPr fitToPage="1"/>
  </sheetPr>
  <dimension ref="A2:U122"/>
  <sheetViews>
    <sheetView tabSelected="1" topLeftCell="A12" zoomScale="85" zoomScaleNormal="85" workbookViewId="0">
      <selection activeCell="B77" sqref="B77:U122"/>
    </sheetView>
  </sheetViews>
  <sheetFormatPr baseColWidth="10" defaultColWidth="11.42578125" defaultRowHeight="15" x14ac:dyDescent="0.25"/>
  <cols>
    <col min="1" max="1" width="3.7109375" customWidth="1"/>
    <col min="2" max="2" width="55.140625" customWidth="1"/>
    <col min="3" max="3" width="13" customWidth="1"/>
    <col min="4" max="4" width="13.42578125" customWidth="1"/>
    <col min="5" max="16" width="10.7109375" customWidth="1"/>
    <col min="17" max="18" width="10.85546875" bestFit="1" customWidth="1"/>
    <col min="20" max="20" width="42" customWidth="1"/>
  </cols>
  <sheetData>
    <row r="2" spans="2:21" ht="18.75" customHeight="1" x14ac:dyDescent="0.35">
      <c r="B2" s="8">
        <v>1</v>
      </c>
      <c r="C2" s="9"/>
      <c r="G2" s="26" t="s">
        <v>116</v>
      </c>
      <c r="H2" s="27"/>
    </row>
    <row r="3" spans="2:21" x14ac:dyDescent="0.25">
      <c r="D3" s="151">
        <v>15</v>
      </c>
      <c r="E3" s="151">
        <v>14</v>
      </c>
      <c r="F3" s="151">
        <v>13</v>
      </c>
      <c r="G3" s="151">
        <v>12</v>
      </c>
      <c r="H3" s="151">
        <v>11</v>
      </c>
      <c r="I3" s="151">
        <v>10</v>
      </c>
      <c r="J3" s="151">
        <v>9</v>
      </c>
      <c r="K3" s="151">
        <v>8</v>
      </c>
      <c r="L3" s="151">
        <v>7</v>
      </c>
      <c r="M3" s="151">
        <v>6</v>
      </c>
      <c r="N3" s="151">
        <v>5</v>
      </c>
      <c r="O3" s="151">
        <v>4</v>
      </c>
      <c r="P3" s="151">
        <v>3</v>
      </c>
      <c r="Q3" s="151">
        <v>2</v>
      </c>
      <c r="R3" s="151">
        <v>1</v>
      </c>
    </row>
    <row r="4" spans="2:21" x14ac:dyDescent="0.25">
      <c r="C4" s="11" t="s">
        <v>10</v>
      </c>
      <c r="D4" s="50">
        <v>1</v>
      </c>
      <c r="E4" s="50">
        <f>1+D4</f>
        <v>2</v>
      </c>
      <c r="F4" s="50">
        <f t="shared" ref="F4:M4" si="0">1+E4</f>
        <v>3</v>
      </c>
      <c r="G4" s="50">
        <f t="shared" si="0"/>
        <v>4</v>
      </c>
      <c r="H4" s="50">
        <f t="shared" si="0"/>
        <v>5</v>
      </c>
      <c r="I4" s="50">
        <f t="shared" si="0"/>
        <v>6</v>
      </c>
      <c r="J4" s="50">
        <f t="shared" si="0"/>
        <v>7</v>
      </c>
      <c r="K4" s="50">
        <f t="shared" si="0"/>
        <v>8</v>
      </c>
      <c r="L4" s="50">
        <f t="shared" si="0"/>
        <v>9</v>
      </c>
      <c r="M4" s="50">
        <f t="shared" si="0"/>
        <v>10</v>
      </c>
      <c r="N4" s="50">
        <f t="shared" ref="N4" si="1">1+M4</f>
        <v>11</v>
      </c>
      <c r="O4" s="50">
        <f t="shared" ref="O4" si="2">1+N4</f>
        <v>12</v>
      </c>
      <c r="P4" s="50">
        <f t="shared" ref="P4" si="3">1+O4</f>
        <v>13</v>
      </c>
      <c r="Q4" s="50">
        <f t="shared" ref="Q4" si="4">1+P4</f>
        <v>14</v>
      </c>
      <c r="R4" s="50">
        <f t="shared" ref="R4" si="5">1+Q4</f>
        <v>15</v>
      </c>
      <c r="T4" s="1" t="s">
        <v>11</v>
      </c>
    </row>
    <row r="5" spans="2:21" x14ac:dyDescent="0.25">
      <c r="C5" s="11"/>
      <c r="D5" s="10" t="s">
        <v>124</v>
      </c>
      <c r="E5" s="10" t="s">
        <v>125</v>
      </c>
      <c r="F5" s="10" t="s">
        <v>126</v>
      </c>
      <c r="G5" s="10" t="s">
        <v>127</v>
      </c>
      <c r="H5" s="10" t="s">
        <v>128</v>
      </c>
      <c r="I5" s="10" t="s">
        <v>129</v>
      </c>
      <c r="J5" s="10" t="s">
        <v>130</v>
      </c>
      <c r="K5" s="10" t="s">
        <v>131</v>
      </c>
      <c r="L5" s="10" t="s">
        <v>132</v>
      </c>
      <c r="M5" s="10" t="s">
        <v>133</v>
      </c>
      <c r="N5" s="10" t="s">
        <v>134</v>
      </c>
      <c r="O5" s="10" t="s">
        <v>135</v>
      </c>
      <c r="P5" s="10" t="s">
        <v>136</v>
      </c>
      <c r="Q5" s="10" t="s">
        <v>137</v>
      </c>
      <c r="R5" s="10" t="s">
        <v>138</v>
      </c>
      <c r="T5" s="48" t="s">
        <v>27</v>
      </c>
      <c r="U5" s="49">
        <v>0</v>
      </c>
    </row>
    <row r="6" spans="2:21" x14ac:dyDescent="0.25">
      <c r="C6" s="12"/>
      <c r="T6" s="3" t="s">
        <v>12</v>
      </c>
      <c r="U6" s="4">
        <v>0.01</v>
      </c>
    </row>
    <row r="7" spans="2:21" ht="17.25" x14ac:dyDescent="0.25">
      <c r="B7" t="s">
        <v>26</v>
      </c>
      <c r="C7" s="13">
        <v>212250</v>
      </c>
      <c r="D7" s="34">
        <f t="shared" ref="D7:R7" si="6">+C7*(1+$U$6)*(1+$U$5)</f>
        <v>214372.5</v>
      </c>
      <c r="E7" s="34">
        <f t="shared" si="6"/>
        <v>216516.22500000001</v>
      </c>
      <c r="F7" s="34">
        <f t="shared" si="6"/>
        <v>218681.38725</v>
      </c>
      <c r="G7" s="34">
        <f t="shared" si="6"/>
        <v>220868.2011225</v>
      </c>
      <c r="H7" s="34">
        <f t="shared" si="6"/>
        <v>223076.883133725</v>
      </c>
      <c r="I7" s="34">
        <f t="shared" si="6"/>
        <v>225307.65196506225</v>
      </c>
      <c r="J7" s="34">
        <f t="shared" si="6"/>
        <v>227560.72848471286</v>
      </c>
      <c r="K7" s="34">
        <f t="shared" si="6"/>
        <v>229836.33576955998</v>
      </c>
      <c r="L7" s="34">
        <f t="shared" si="6"/>
        <v>232134.69912725559</v>
      </c>
      <c r="M7" s="34">
        <f t="shared" si="6"/>
        <v>234456.04611852815</v>
      </c>
      <c r="N7" s="34">
        <f t="shared" si="6"/>
        <v>236800.60657971344</v>
      </c>
      <c r="O7" s="34">
        <f t="shared" si="6"/>
        <v>239168.61264551058</v>
      </c>
      <c r="P7" s="34">
        <f t="shared" si="6"/>
        <v>241560.2987719657</v>
      </c>
      <c r="Q7" s="34">
        <f t="shared" si="6"/>
        <v>243975.90175968537</v>
      </c>
      <c r="R7" s="34">
        <f t="shared" si="6"/>
        <v>246415.66077728223</v>
      </c>
      <c r="T7" s="3" t="s">
        <v>13</v>
      </c>
      <c r="U7" s="4">
        <v>8.0000000000000002E-3</v>
      </c>
    </row>
    <row r="8" spans="2:21" x14ac:dyDescent="0.25">
      <c r="B8" s="1" t="s">
        <v>91</v>
      </c>
      <c r="C8" s="13"/>
      <c r="T8" s="3" t="s">
        <v>14</v>
      </c>
      <c r="U8" s="5">
        <v>0</v>
      </c>
    </row>
    <row r="9" spans="2:21" x14ac:dyDescent="0.25">
      <c r="B9" t="s">
        <v>97</v>
      </c>
      <c r="C9" s="13">
        <v>253771</v>
      </c>
      <c r="D9" s="95">
        <f t="shared" ref="D9:R9" si="7">+D7*D65</f>
        <v>284528.29897100001</v>
      </c>
      <c r="E9" s="95">
        <f t="shared" si="7"/>
        <v>319013.41333458415</v>
      </c>
      <c r="F9" s="95">
        <f t="shared" si="7"/>
        <v>357678.15804414911</v>
      </c>
      <c r="G9" s="95">
        <f t="shared" si="7"/>
        <v>375705.13720957428</v>
      </c>
      <c r="H9" s="95">
        <f t="shared" si="7"/>
        <v>394640.67612493684</v>
      </c>
      <c r="I9" s="95">
        <f t="shared" si="7"/>
        <v>414530.56620163366</v>
      </c>
      <c r="J9" s="95">
        <f t="shared" si="7"/>
        <v>433329.52737887774</v>
      </c>
      <c r="K9" s="95">
        <f t="shared" si="7"/>
        <v>452981.0214455098</v>
      </c>
      <c r="L9" s="95">
        <f t="shared" si="7"/>
        <v>473523.71076806361</v>
      </c>
      <c r="M9" s="113">
        <f t="shared" si="7"/>
        <v>494998.01105139527</v>
      </c>
      <c r="N9" s="113">
        <f t="shared" si="7"/>
        <v>517446.17085257603</v>
      </c>
      <c r="O9" s="113">
        <f t="shared" si="7"/>
        <v>540912.35470074043</v>
      </c>
      <c r="P9" s="113">
        <f t="shared" si="7"/>
        <v>565442.72998641897</v>
      </c>
      <c r="Q9" s="113">
        <f t="shared" si="7"/>
        <v>591085.55779130303</v>
      </c>
      <c r="R9" s="113">
        <f t="shared" si="7"/>
        <v>617891.28783713863</v>
      </c>
      <c r="T9" s="170" t="s">
        <v>117</v>
      </c>
      <c r="U9" s="166">
        <v>-0.01</v>
      </c>
    </row>
    <row r="10" spans="2:21" x14ac:dyDescent="0.25">
      <c r="B10" t="s">
        <v>118</v>
      </c>
      <c r="C10" s="13">
        <v>18747</v>
      </c>
      <c r="D10" s="95">
        <f>C10*1.01</f>
        <v>18934.47</v>
      </c>
      <c r="E10" s="95">
        <f t="shared" ref="E10:R10" si="8">D10*1.01</f>
        <v>19123.814700000003</v>
      </c>
      <c r="F10" s="95">
        <f t="shared" si="8"/>
        <v>19315.052847000003</v>
      </c>
      <c r="G10" s="95">
        <f t="shared" si="8"/>
        <v>19508.203375470002</v>
      </c>
      <c r="H10" s="95">
        <f t="shared" si="8"/>
        <v>19703.285409224703</v>
      </c>
      <c r="I10" s="95">
        <f t="shared" si="8"/>
        <v>19900.318263316949</v>
      </c>
      <c r="J10" s="95">
        <f t="shared" si="8"/>
        <v>20099.321445950118</v>
      </c>
      <c r="K10" s="95">
        <f t="shared" si="8"/>
        <v>20300.314660409618</v>
      </c>
      <c r="L10" s="95">
        <f t="shared" si="8"/>
        <v>20503.317807013715</v>
      </c>
      <c r="M10" s="95">
        <f t="shared" si="8"/>
        <v>20708.350985083853</v>
      </c>
      <c r="N10" s="95">
        <f t="shared" si="8"/>
        <v>20915.434494934692</v>
      </c>
      <c r="O10" s="95">
        <f t="shared" si="8"/>
        <v>21124.58883988404</v>
      </c>
      <c r="P10" s="95">
        <f t="shared" si="8"/>
        <v>21335.83472828288</v>
      </c>
      <c r="Q10" s="95">
        <f t="shared" si="8"/>
        <v>21549.193075565709</v>
      </c>
      <c r="R10" s="95">
        <f t="shared" si="8"/>
        <v>21764.685006321364</v>
      </c>
      <c r="T10" s="170"/>
      <c r="U10" s="166"/>
    </row>
    <row r="11" spans="2:21" x14ac:dyDescent="0.25">
      <c r="B11" t="s">
        <v>96</v>
      </c>
      <c r="C11" s="13">
        <f>C9*0.2731</f>
        <v>69304.860100000005</v>
      </c>
      <c r="D11" s="95">
        <f>D9*0.2731</f>
        <v>77704.678448980107</v>
      </c>
      <c r="E11" s="95">
        <f t="shared" ref="E11:R11" si="9">E9*0.2731</f>
        <v>87122.563181674937</v>
      </c>
      <c r="F11" s="95">
        <f t="shared" si="9"/>
        <v>97681.90496185713</v>
      </c>
      <c r="G11" s="95">
        <f t="shared" si="9"/>
        <v>102605.07297193474</v>
      </c>
      <c r="H11" s="95">
        <f t="shared" si="9"/>
        <v>107776.36864972026</v>
      </c>
      <c r="I11" s="95">
        <f t="shared" si="9"/>
        <v>113208.29762966615</v>
      </c>
      <c r="J11" s="95">
        <f t="shared" si="9"/>
        <v>118342.29392717151</v>
      </c>
      <c r="K11" s="95">
        <f t="shared" si="9"/>
        <v>123709.11695676873</v>
      </c>
      <c r="L11" s="95">
        <f t="shared" si="9"/>
        <v>129319.32541075817</v>
      </c>
      <c r="M11" s="95">
        <f t="shared" si="9"/>
        <v>135183.95681813607</v>
      </c>
      <c r="N11" s="95">
        <f t="shared" si="9"/>
        <v>141314.54925983853</v>
      </c>
      <c r="O11" s="95">
        <f t="shared" si="9"/>
        <v>147723.16406877222</v>
      </c>
      <c r="P11" s="95">
        <f t="shared" si="9"/>
        <v>154422.40955929103</v>
      </c>
      <c r="Q11" s="95">
        <f t="shared" si="9"/>
        <v>161425.46583280485</v>
      </c>
      <c r="R11" s="95">
        <f t="shared" si="9"/>
        <v>168746.11070832258</v>
      </c>
      <c r="S11" s="18"/>
      <c r="T11" s="170"/>
      <c r="U11" s="166"/>
    </row>
    <row r="12" spans="2:21" ht="15.75" thickBot="1" x14ac:dyDescent="0.3">
      <c r="C12" s="13"/>
      <c r="D12" s="98"/>
      <c r="E12" s="99"/>
      <c r="F12" s="99"/>
      <c r="G12" s="99"/>
      <c r="H12" s="99"/>
      <c r="I12" s="99"/>
      <c r="J12" s="99"/>
      <c r="K12" s="99"/>
      <c r="L12" s="99"/>
      <c r="M12" s="99"/>
      <c r="Q12" s="18"/>
      <c r="R12" s="18"/>
      <c r="S12" s="18"/>
      <c r="T12" s="42" t="s">
        <v>15</v>
      </c>
      <c r="U12" s="5">
        <v>0.06</v>
      </c>
    </row>
    <row r="13" spans="2:21" ht="15.75" thickBot="1" x14ac:dyDescent="0.3">
      <c r="B13" s="39" t="s">
        <v>0</v>
      </c>
      <c r="C13" s="41">
        <f t="shared" ref="C13:R13" si="10">SUM(C9:C11)</f>
        <v>341822.86009999999</v>
      </c>
      <c r="D13" s="44">
        <f t="shared" si="10"/>
        <v>381167.44741998008</v>
      </c>
      <c r="E13" s="44">
        <f t="shared" si="10"/>
        <v>425259.79121625907</v>
      </c>
      <c r="F13" s="44">
        <f t="shared" si="10"/>
        <v>474675.11585300625</v>
      </c>
      <c r="G13" s="44">
        <f t="shared" si="10"/>
        <v>497818.41355697904</v>
      </c>
      <c r="H13" s="44">
        <f t="shared" si="10"/>
        <v>522120.3301838818</v>
      </c>
      <c r="I13" s="44">
        <f t="shared" si="10"/>
        <v>547639.1820946167</v>
      </c>
      <c r="J13" s="44">
        <f t="shared" si="10"/>
        <v>571771.14275199943</v>
      </c>
      <c r="K13" s="44">
        <f t="shared" si="10"/>
        <v>596990.45306268823</v>
      </c>
      <c r="L13" s="44">
        <f t="shared" si="10"/>
        <v>623346.35398583545</v>
      </c>
      <c r="M13" s="129">
        <f t="shared" si="10"/>
        <v>650890.31885461521</v>
      </c>
      <c r="N13" s="129">
        <f t="shared" si="10"/>
        <v>679676.15460734931</v>
      </c>
      <c r="O13" s="129">
        <f t="shared" si="10"/>
        <v>709760.10760939668</v>
      </c>
      <c r="P13" s="129">
        <f t="shared" si="10"/>
        <v>741200.97427399294</v>
      </c>
      <c r="Q13" s="129">
        <f t="shared" si="10"/>
        <v>774060.21669967356</v>
      </c>
      <c r="R13" s="129">
        <f t="shared" si="10"/>
        <v>808402.08355178265</v>
      </c>
      <c r="S13" s="136">
        <f>SUM(D13:R13)</f>
        <v>9004778.0857220571</v>
      </c>
      <c r="T13" s="3" t="s">
        <v>16</v>
      </c>
      <c r="U13" s="5">
        <v>0.02</v>
      </c>
    </row>
    <row r="14" spans="2:21" x14ac:dyDescent="0.25">
      <c r="T14" s="6" t="s">
        <v>17</v>
      </c>
      <c r="U14" s="7">
        <v>0.03</v>
      </c>
    </row>
    <row r="15" spans="2:21" x14ac:dyDescent="0.25">
      <c r="B15" s="1" t="s">
        <v>1</v>
      </c>
      <c r="C15" s="18"/>
      <c r="S15" s="2"/>
      <c r="T15" s="167" t="s">
        <v>139</v>
      </c>
      <c r="U15" s="167"/>
    </row>
    <row r="16" spans="2:21" ht="15" customHeight="1" x14ac:dyDescent="0.25">
      <c r="B16" t="s">
        <v>2</v>
      </c>
      <c r="C16" s="35">
        <v>117136</v>
      </c>
      <c r="D16" s="95">
        <f t="shared" ref="D16:R16" si="11">+C16*(1+$U$7)</f>
        <v>118073.088</v>
      </c>
      <c r="E16" s="95">
        <f t="shared" si="11"/>
        <v>119017.67270400001</v>
      </c>
      <c r="F16" s="95">
        <f t="shared" si="11"/>
        <v>119969.81408563201</v>
      </c>
      <c r="G16" s="95">
        <f t="shared" si="11"/>
        <v>120929.57259831707</v>
      </c>
      <c r="H16" s="95">
        <f t="shared" si="11"/>
        <v>121897.00917910361</v>
      </c>
      <c r="I16" s="95">
        <f t="shared" si="11"/>
        <v>122872.18525253644</v>
      </c>
      <c r="J16" s="95">
        <f t="shared" si="11"/>
        <v>123855.16273455672</v>
      </c>
      <c r="K16" s="95">
        <f t="shared" si="11"/>
        <v>124846.00403643318</v>
      </c>
      <c r="L16" s="95">
        <f t="shared" si="11"/>
        <v>125844.77206872465</v>
      </c>
      <c r="M16" s="113">
        <f t="shared" si="11"/>
        <v>126851.53024527445</v>
      </c>
      <c r="N16" s="113">
        <f t="shared" si="11"/>
        <v>127866.34248723664</v>
      </c>
      <c r="O16" s="113">
        <f t="shared" si="11"/>
        <v>128889.27322713454</v>
      </c>
      <c r="P16" s="113">
        <f t="shared" si="11"/>
        <v>129920.38741295162</v>
      </c>
      <c r="Q16" s="113">
        <f t="shared" si="11"/>
        <v>130959.75051225524</v>
      </c>
      <c r="R16" s="113">
        <f t="shared" si="11"/>
        <v>132007.42851635328</v>
      </c>
      <c r="T16" s="167"/>
      <c r="U16" s="167"/>
    </row>
    <row r="17" spans="1:21" x14ac:dyDescent="0.25">
      <c r="B17" t="s">
        <v>3</v>
      </c>
      <c r="C17" s="35">
        <v>36531</v>
      </c>
      <c r="D17" s="95">
        <f t="shared" ref="D17:R17" si="12">+C17*(1+$U$12)*(1+$U$9)*(1+$U$5)*(1+$U$6)</f>
        <v>38718.987713999995</v>
      </c>
      <c r="E17" s="95">
        <f t="shared" si="12"/>
        <v>41038.022764142312</v>
      </c>
      <c r="F17" s="95">
        <f t="shared" si="12"/>
        <v>43495.954099577852</v>
      </c>
      <c r="G17" s="95">
        <f t="shared" si="12"/>
        <v>46101.100774417966</v>
      </c>
      <c r="H17" s="95">
        <f t="shared" si="12"/>
        <v>48862.28010420096</v>
      </c>
      <c r="I17" s="95">
        <f t="shared" si="12"/>
        <v>51788.837508761979</v>
      </c>
      <c r="J17" s="95">
        <f t="shared" si="12"/>
        <v>54890.678142511773</v>
      </c>
      <c r="K17" s="95">
        <f t="shared" si="12"/>
        <v>58178.300419179381</v>
      </c>
      <c r="L17" s="95">
        <f t="shared" si="12"/>
        <v>61662.831544485714</v>
      </c>
      <c r="M17" s="113">
        <f t="shared" si="12"/>
        <v>65356.065177011144</v>
      </c>
      <c r="N17" s="113">
        <f t="shared" si="12"/>
        <v>69270.501344723045</v>
      </c>
      <c r="O17" s="113">
        <f t="shared" si="12"/>
        <v>73419.388752263898</v>
      </c>
      <c r="P17" s="113">
        <f t="shared" si="12"/>
        <v>77816.769622192005</v>
      </c>
      <c r="Q17" s="113">
        <f t="shared" si="12"/>
        <v>82477.527221943572</v>
      </c>
      <c r="R17" s="113">
        <f t="shared" si="12"/>
        <v>87417.43623737467</v>
      </c>
      <c r="T17" s="168" t="s">
        <v>123</v>
      </c>
      <c r="U17" s="168"/>
    </row>
    <row r="18" spans="1:21" ht="15" customHeight="1" x14ac:dyDescent="0.25">
      <c r="B18" t="s">
        <v>4</v>
      </c>
      <c r="C18" s="35">
        <v>0</v>
      </c>
      <c r="D18" s="95">
        <f>+C18*(1+$U$8)*(1+$U$9)*(1+$U$5)</f>
        <v>0</v>
      </c>
      <c r="E18" s="95">
        <f t="shared" ref="E18:R18" si="13">+D18*(1+$U$8)*(1+$U$9)*(1+$U$5)*(1+$U$6)</f>
        <v>0</v>
      </c>
      <c r="F18" s="95">
        <f t="shared" si="13"/>
        <v>0</v>
      </c>
      <c r="G18" s="95">
        <f t="shared" si="13"/>
        <v>0</v>
      </c>
      <c r="H18" s="95">
        <f t="shared" si="13"/>
        <v>0</v>
      </c>
      <c r="I18" s="95">
        <f t="shared" si="13"/>
        <v>0</v>
      </c>
      <c r="J18" s="95">
        <f t="shared" si="13"/>
        <v>0</v>
      </c>
      <c r="K18" s="95">
        <f t="shared" si="13"/>
        <v>0</v>
      </c>
      <c r="L18" s="95">
        <f t="shared" si="13"/>
        <v>0</v>
      </c>
      <c r="M18" s="113">
        <f t="shared" si="13"/>
        <v>0</v>
      </c>
      <c r="N18" s="113">
        <f t="shared" si="13"/>
        <v>0</v>
      </c>
      <c r="O18" s="113">
        <f t="shared" si="13"/>
        <v>0</v>
      </c>
      <c r="P18" s="113">
        <f t="shared" si="13"/>
        <v>0</v>
      </c>
      <c r="Q18" s="113">
        <f t="shared" si="13"/>
        <v>0</v>
      </c>
      <c r="R18" s="113">
        <f t="shared" si="13"/>
        <v>0</v>
      </c>
      <c r="T18" s="168"/>
      <c r="U18" s="168"/>
    </row>
    <row r="19" spans="1:21" x14ac:dyDescent="0.25">
      <c r="B19" t="s">
        <v>93</v>
      </c>
      <c r="C19" s="35">
        <v>115488</v>
      </c>
      <c r="D19" s="95">
        <f t="shared" ref="D19:R19" si="14">+C19*(1+$U$13)</f>
        <v>117797.76000000001</v>
      </c>
      <c r="E19" s="95">
        <f t="shared" si="14"/>
        <v>120153.71520000001</v>
      </c>
      <c r="F19" s="95">
        <f t="shared" si="14"/>
        <v>122556.78950400001</v>
      </c>
      <c r="G19" s="95">
        <f t="shared" si="14"/>
        <v>125007.92529408002</v>
      </c>
      <c r="H19" s="95">
        <f t="shared" si="14"/>
        <v>127508.08379996162</v>
      </c>
      <c r="I19" s="95">
        <f t="shared" si="14"/>
        <v>130058.24547596085</v>
      </c>
      <c r="J19" s="95">
        <f t="shared" si="14"/>
        <v>132659.41038548006</v>
      </c>
      <c r="K19" s="95">
        <f t="shared" si="14"/>
        <v>135312.59859318967</v>
      </c>
      <c r="L19" s="95">
        <f t="shared" si="14"/>
        <v>138018.85056505346</v>
      </c>
      <c r="M19" s="113">
        <f t="shared" si="14"/>
        <v>140779.22757635455</v>
      </c>
      <c r="N19" s="113">
        <f t="shared" si="14"/>
        <v>143594.81212788165</v>
      </c>
      <c r="O19" s="113">
        <f t="shared" si="14"/>
        <v>146466.7083704393</v>
      </c>
      <c r="P19" s="113">
        <f t="shared" si="14"/>
        <v>149396.04253784809</v>
      </c>
      <c r="Q19" s="113">
        <f t="shared" si="14"/>
        <v>152383.96338860504</v>
      </c>
      <c r="R19" s="113">
        <f t="shared" si="14"/>
        <v>155431.64265637714</v>
      </c>
      <c r="T19" s="115" t="s">
        <v>73</v>
      </c>
      <c r="U19" s="117">
        <v>0.12</v>
      </c>
    </row>
    <row r="20" spans="1:21" ht="15" customHeight="1" x14ac:dyDescent="0.25">
      <c r="B20" t="s">
        <v>94</v>
      </c>
      <c r="C20" s="35">
        <v>0</v>
      </c>
      <c r="D20" s="95">
        <v>0</v>
      </c>
      <c r="E20" s="95">
        <f t="shared" ref="E20:R20" si="15">+D20*(1+$U$13)</f>
        <v>0</v>
      </c>
      <c r="F20" s="95">
        <f t="shared" si="15"/>
        <v>0</v>
      </c>
      <c r="G20" s="95">
        <f t="shared" si="15"/>
        <v>0</v>
      </c>
      <c r="H20" s="95">
        <f t="shared" si="15"/>
        <v>0</v>
      </c>
      <c r="I20" s="95">
        <f t="shared" si="15"/>
        <v>0</v>
      </c>
      <c r="J20" s="95">
        <f t="shared" si="15"/>
        <v>0</v>
      </c>
      <c r="K20" s="95">
        <f t="shared" si="15"/>
        <v>0</v>
      </c>
      <c r="L20" s="95">
        <f t="shared" si="15"/>
        <v>0</v>
      </c>
      <c r="M20" s="113">
        <f t="shared" si="15"/>
        <v>0</v>
      </c>
      <c r="N20" s="113">
        <f t="shared" si="15"/>
        <v>0</v>
      </c>
      <c r="O20" s="113">
        <f t="shared" si="15"/>
        <v>0</v>
      </c>
      <c r="P20" s="113">
        <f t="shared" si="15"/>
        <v>0</v>
      </c>
      <c r="Q20" s="113">
        <f t="shared" si="15"/>
        <v>0</v>
      </c>
      <c r="R20" s="113">
        <f t="shared" si="15"/>
        <v>0</v>
      </c>
      <c r="T20" s="116" t="s">
        <v>74</v>
      </c>
      <c r="U20" s="118">
        <v>0</v>
      </c>
    </row>
    <row r="21" spans="1:21" ht="15" customHeight="1" x14ac:dyDescent="0.25">
      <c r="B21" t="s">
        <v>5</v>
      </c>
      <c r="C21" s="35">
        <v>33346</v>
      </c>
      <c r="D21" s="95">
        <f t="shared" ref="D21:R21" si="16">+C21*(1+$U$13)</f>
        <v>34012.92</v>
      </c>
      <c r="E21" s="95">
        <f t="shared" si="16"/>
        <v>34693.178399999997</v>
      </c>
      <c r="F21" s="95">
        <f t="shared" si="16"/>
        <v>35387.041967999998</v>
      </c>
      <c r="G21" s="95">
        <f t="shared" si="16"/>
        <v>36094.782807359996</v>
      </c>
      <c r="H21" s="95">
        <f t="shared" si="16"/>
        <v>36816.678463507196</v>
      </c>
      <c r="I21" s="95">
        <f t="shared" si="16"/>
        <v>37553.01203277734</v>
      </c>
      <c r="J21" s="95">
        <f t="shared" si="16"/>
        <v>38304.072273432888</v>
      </c>
      <c r="K21" s="95">
        <f t="shared" si="16"/>
        <v>39070.153718901543</v>
      </c>
      <c r="L21" s="95">
        <f t="shared" si="16"/>
        <v>39851.556793279575</v>
      </c>
      <c r="M21" s="113">
        <f t="shared" si="16"/>
        <v>40648.587929145164</v>
      </c>
      <c r="N21" s="113">
        <f t="shared" si="16"/>
        <v>41461.55968772807</v>
      </c>
      <c r="O21" s="113">
        <f t="shared" si="16"/>
        <v>42290.79088148263</v>
      </c>
      <c r="P21" s="113">
        <f t="shared" si="16"/>
        <v>43136.606699112286</v>
      </c>
      <c r="Q21" s="113">
        <f t="shared" si="16"/>
        <v>43999.338833094531</v>
      </c>
      <c r="R21" s="113">
        <f t="shared" si="16"/>
        <v>44879.325609756423</v>
      </c>
      <c r="S21" s="114"/>
      <c r="T21" s="37"/>
    </row>
    <row r="22" spans="1:21" ht="14.45" customHeight="1" x14ac:dyDescent="0.25">
      <c r="B22" t="s">
        <v>6</v>
      </c>
      <c r="C22" s="36">
        <v>14000</v>
      </c>
      <c r="D22" s="96">
        <f t="shared" ref="D22:R22" si="17">+C22*(1+$U$13)</f>
        <v>14280</v>
      </c>
      <c r="E22" s="96">
        <f t="shared" si="17"/>
        <v>14565.6</v>
      </c>
      <c r="F22" s="96">
        <f t="shared" si="17"/>
        <v>14856.912</v>
      </c>
      <c r="G22" s="96">
        <f t="shared" si="17"/>
        <v>15154.05024</v>
      </c>
      <c r="H22" s="96">
        <f t="shared" si="17"/>
        <v>15457.131244800001</v>
      </c>
      <c r="I22" s="96">
        <f t="shared" si="17"/>
        <v>15766.273869696</v>
      </c>
      <c r="J22" s="96">
        <f t="shared" si="17"/>
        <v>16081.599347089921</v>
      </c>
      <c r="K22" s="96">
        <f t="shared" si="17"/>
        <v>16403.23133403172</v>
      </c>
      <c r="L22" s="96">
        <f t="shared" si="17"/>
        <v>16731.295960712356</v>
      </c>
      <c r="M22" s="130">
        <f t="shared" si="17"/>
        <v>17065.921879926602</v>
      </c>
      <c r="N22" s="130">
        <f t="shared" si="17"/>
        <v>17407.240317525135</v>
      </c>
      <c r="O22" s="130">
        <f t="shared" si="17"/>
        <v>17755.385123875636</v>
      </c>
      <c r="P22" s="130">
        <f t="shared" si="17"/>
        <v>18110.492826353147</v>
      </c>
      <c r="Q22" s="130">
        <f t="shared" si="17"/>
        <v>18472.702682880212</v>
      </c>
      <c r="R22" s="130">
        <f t="shared" si="17"/>
        <v>18842.156736537818</v>
      </c>
      <c r="T22" s="169" t="s">
        <v>70</v>
      </c>
      <c r="U22" s="169"/>
    </row>
    <row r="23" spans="1:21" ht="14.25" customHeight="1" x14ac:dyDescent="0.25">
      <c r="A23" s="32"/>
      <c r="B23" t="s">
        <v>72</v>
      </c>
      <c r="C23" s="35">
        <v>17239</v>
      </c>
      <c r="D23" s="95">
        <f>+C23*(1+$U$13)</f>
        <v>17583.78</v>
      </c>
      <c r="E23" s="95">
        <f t="shared" ref="E23:R23" si="18">+D23*(1+$U$13)</f>
        <v>17935.455599999998</v>
      </c>
      <c r="F23" s="95">
        <f t="shared" si="18"/>
        <v>18294.164711999998</v>
      </c>
      <c r="G23" s="95">
        <f t="shared" si="18"/>
        <v>18660.048006239998</v>
      </c>
      <c r="H23" s="95">
        <f t="shared" si="18"/>
        <v>19033.248966364798</v>
      </c>
      <c r="I23" s="95">
        <f t="shared" si="18"/>
        <v>19413.913945692093</v>
      </c>
      <c r="J23" s="95">
        <f t="shared" si="18"/>
        <v>19802.192224605937</v>
      </c>
      <c r="K23" s="95">
        <f t="shared" si="18"/>
        <v>20198.236069098057</v>
      </c>
      <c r="L23" s="95">
        <f t="shared" si="18"/>
        <v>20602.200790480019</v>
      </c>
      <c r="M23" s="95">
        <f t="shared" si="18"/>
        <v>21014.244806289622</v>
      </c>
      <c r="N23" s="95">
        <f t="shared" si="18"/>
        <v>21434.529702415413</v>
      </c>
      <c r="O23" s="95">
        <f t="shared" si="18"/>
        <v>21863.220296463722</v>
      </c>
      <c r="P23" s="95">
        <f t="shared" si="18"/>
        <v>22300.484702392998</v>
      </c>
      <c r="Q23" s="95">
        <f t="shared" si="18"/>
        <v>22746.494396440859</v>
      </c>
      <c r="R23" s="95">
        <f t="shared" si="18"/>
        <v>23201.424284369677</v>
      </c>
      <c r="T23" s="169"/>
      <c r="U23" s="169"/>
    </row>
    <row r="24" spans="1:21" ht="15.75" x14ac:dyDescent="0.25">
      <c r="A24" s="32"/>
      <c r="B24" t="s">
        <v>71</v>
      </c>
      <c r="C24" s="35">
        <v>50981</v>
      </c>
      <c r="D24" s="95">
        <f>+C24*(1+$U$13)</f>
        <v>52000.62</v>
      </c>
      <c r="E24" s="95">
        <f t="shared" ref="E24:R24" si="19">+D24*(1+$U$13)</f>
        <v>53040.632400000002</v>
      </c>
      <c r="F24" s="95">
        <f t="shared" si="19"/>
        <v>54101.445048000001</v>
      </c>
      <c r="G24" s="95">
        <f t="shared" si="19"/>
        <v>55183.473948960003</v>
      </c>
      <c r="H24" s="95">
        <f t="shared" si="19"/>
        <v>56287.143427939205</v>
      </c>
      <c r="I24" s="95">
        <f t="shared" si="19"/>
        <v>57412.886296497993</v>
      </c>
      <c r="J24" s="95">
        <f t="shared" si="19"/>
        <v>58561.14402242795</v>
      </c>
      <c r="K24" s="95">
        <f t="shared" si="19"/>
        <v>59732.366902876507</v>
      </c>
      <c r="L24" s="95">
        <f t="shared" si="19"/>
        <v>60927.014240934041</v>
      </c>
      <c r="M24" s="113">
        <f t="shared" si="19"/>
        <v>62145.554525752719</v>
      </c>
      <c r="N24" s="113">
        <f t="shared" si="19"/>
        <v>63388.465616267771</v>
      </c>
      <c r="O24" s="113">
        <f t="shared" si="19"/>
        <v>64656.234928593127</v>
      </c>
      <c r="P24" s="113">
        <f t="shared" si="19"/>
        <v>65949.359627164988</v>
      </c>
      <c r="Q24" s="113">
        <f t="shared" si="19"/>
        <v>67268.346819708284</v>
      </c>
      <c r="R24" s="113">
        <f t="shared" si="19"/>
        <v>68613.713756102457</v>
      </c>
    </row>
    <row r="25" spans="1:21" ht="15.75" x14ac:dyDescent="0.25">
      <c r="A25" s="32"/>
      <c r="B25" t="s">
        <v>61</v>
      </c>
      <c r="C25" s="12"/>
      <c r="D25" s="97">
        <v>10000</v>
      </c>
      <c r="E25" s="97"/>
      <c r="F25" s="97"/>
      <c r="G25" s="97"/>
      <c r="H25" s="97"/>
      <c r="I25" s="97"/>
      <c r="J25" s="97"/>
      <c r="K25" s="97"/>
      <c r="L25" s="97"/>
      <c r="M25" s="131"/>
      <c r="O25" s="18"/>
      <c r="P25" s="18"/>
      <c r="Q25" s="18"/>
      <c r="R25" s="18"/>
    </row>
    <row r="26" spans="1:21" ht="15.75" x14ac:dyDescent="0.25">
      <c r="A26" s="33"/>
      <c r="B26" t="s">
        <v>122</v>
      </c>
      <c r="C26" s="13">
        <f>C13*0.007</f>
        <v>2392.7600207</v>
      </c>
      <c r="D26" s="111">
        <f>0.007*D13</f>
        <v>2668.1721319398607</v>
      </c>
      <c r="E26" s="111">
        <f t="shared" ref="E26:R26" si="20">0.007*E13</f>
        <v>2976.8185385138136</v>
      </c>
      <c r="F26" s="111">
        <f t="shared" si="20"/>
        <v>3322.7258109710438</v>
      </c>
      <c r="G26" s="111">
        <f t="shared" si="20"/>
        <v>3484.7288948988535</v>
      </c>
      <c r="H26" s="111">
        <f t="shared" si="20"/>
        <v>3654.8423112871728</v>
      </c>
      <c r="I26" s="111">
        <f t="shared" si="20"/>
        <v>3833.4742746623169</v>
      </c>
      <c r="J26" s="111">
        <f t="shared" si="20"/>
        <v>4002.3979992639961</v>
      </c>
      <c r="K26" s="111">
        <f t="shared" si="20"/>
        <v>4178.9331714388181</v>
      </c>
      <c r="L26" s="111">
        <f t="shared" si="20"/>
        <v>4363.4244779008486</v>
      </c>
      <c r="M26" s="111">
        <f t="shared" si="20"/>
        <v>4556.232231982307</v>
      </c>
      <c r="N26" s="111">
        <f t="shared" si="20"/>
        <v>4757.733082251445</v>
      </c>
      <c r="O26" s="111">
        <f t="shared" si="20"/>
        <v>4968.3207532657771</v>
      </c>
      <c r="P26" s="111">
        <f t="shared" si="20"/>
        <v>5188.406819917951</v>
      </c>
      <c r="Q26" s="111">
        <f t="shared" si="20"/>
        <v>5418.4215168977153</v>
      </c>
      <c r="R26" s="111">
        <f t="shared" si="20"/>
        <v>5658.814584862479</v>
      </c>
    </row>
    <row r="27" spans="1:21" ht="15.6" customHeight="1" thickBot="1" x14ac:dyDescent="0.3">
      <c r="A27" s="30"/>
      <c r="B27" t="s">
        <v>119</v>
      </c>
      <c r="C27" s="13">
        <f>C13*0.018</f>
        <v>6152.8114817999995</v>
      </c>
      <c r="D27" s="112">
        <f>D13*0.018</f>
        <v>6861.0140535596411</v>
      </c>
      <c r="E27" s="112">
        <f t="shared" ref="E27:R27" si="21">E13*0.018</f>
        <v>7654.6762418926628</v>
      </c>
      <c r="F27" s="112">
        <f t="shared" si="21"/>
        <v>8544.1520853541115</v>
      </c>
      <c r="G27" s="112">
        <f t="shared" si="21"/>
        <v>8960.7314440256214</v>
      </c>
      <c r="H27" s="112">
        <f t="shared" si="21"/>
        <v>9398.1659433098721</v>
      </c>
      <c r="I27" s="112">
        <f t="shared" si="21"/>
        <v>9857.5052777030996</v>
      </c>
      <c r="J27" s="112">
        <f t="shared" si="21"/>
        <v>10291.88056953599</v>
      </c>
      <c r="K27" s="112">
        <f t="shared" si="21"/>
        <v>10745.828155128387</v>
      </c>
      <c r="L27" s="112">
        <f t="shared" si="21"/>
        <v>11220.234371745037</v>
      </c>
      <c r="M27" s="112">
        <f t="shared" si="21"/>
        <v>11716.025739383073</v>
      </c>
      <c r="N27" s="112">
        <f t="shared" si="21"/>
        <v>12234.170782932286</v>
      </c>
      <c r="O27" s="112">
        <f t="shared" si="21"/>
        <v>12775.68193696914</v>
      </c>
      <c r="P27" s="112">
        <f t="shared" si="21"/>
        <v>13341.617536931872</v>
      </c>
      <c r="Q27" s="112">
        <f t="shared" si="21"/>
        <v>13933.083900594123</v>
      </c>
      <c r="R27" s="112">
        <f t="shared" si="21"/>
        <v>14551.237503932087</v>
      </c>
    </row>
    <row r="28" spans="1:21" ht="16.5" thickBot="1" x14ac:dyDescent="0.3">
      <c r="A28" s="30"/>
      <c r="B28" s="40" t="s">
        <v>7</v>
      </c>
      <c r="C28" s="41">
        <f>SUM(C16:C27)</f>
        <v>393266.57150249998</v>
      </c>
      <c r="D28" s="43">
        <f>SUM(D16:D27)</f>
        <v>411996.34189949947</v>
      </c>
      <c r="E28" s="43">
        <f t="shared" ref="E28:R28" si="22">SUM(E16:E27)</f>
        <v>411075.77184854879</v>
      </c>
      <c r="F28" s="43">
        <f t="shared" si="22"/>
        <v>420528.99931353505</v>
      </c>
      <c r="G28" s="43">
        <f t="shared" si="22"/>
        <v>429576.41400829959</v>
      </c>
      <c r="H28" s="43">
        <f t="shared" si="22"/>
        <v>438914.58344047447</v>
      </c>
      <c r="I28" s="43">
        <f t="shared" si="22"/>
        <v>448556.33393428812</v>
      </c>
      <c r="J28" s="43">
        <f t="shared" si="22"/>
        <v>458448.53769890533</v>
      </c>
      <c r="K28" s="43">
        <f t="shared" si="22"/>
        <v>468665.65240027732</v>
      </c>
      <c r="L28" s="43">
        <f t="shared" si="22"/>
        <v>479222.18081331573</v>
      </c>
      <c r="M28" s="43">
        <f t="shared" si="22"/>
        <v>490133.39011111954</v>
      </c>
      <c r="N28" s="43">
        <f t="shared" si="22"/>
        <v>501415.35514896142</v>
      </c>
      <c r="O28" s="43">
        <f t="shared" si="22"/>
        <v>513085.00427048781</v>
      </c>
      <c r="P28" s="43">
        <f t="shared" si="22"/>
        <v>525160.1677848649</v>
      </c>
      <c r="Q28" s="43">
        <f t="shared" si="22"/>
        <v>537659.62927241961</v>
      </c>
      <c r="R28" s="43">
        <f t="shared" si="22"/>
        <v>550603.179885666</v>
      </c>
      <c r="S28" s="18"/>
    </row>
    <row r="29" spans="1:21" ht="15.75" x14ac:dyDescent="0.25">
      <c r="A29" s="30"/>
      <c r="C29" s="13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18"/>
    </row>
    <row r="30" spans="1:21" ht="15.75" x14ac:dyDescent="0.25">
      <c r="A30" s="30"/>
      <c r="B30" t="s">
        <v>95</v>
      </c>
      <c r="C30" s="13">
        <v>2000</v>
      </c>
      <c r="D30" s="111">
        <v>2000</v>
      </c>
      <c r="E30" s="111">
        <v>2000</v>
      </c>
      <c r="F30" s="111">
        <v>2000</v>
      </c>
      <c r="G30" s="111">
        <v>2000</v>
      </c>
      <c r="H30" s="111">
        <v>2000</v>
      </c>
      <c r="I30" s="111">
        <v>2000</v>
      </c>
      <c r="J30" s="111">
        <v>2000</v>
      </c>
      <c r="K30" s="111">
        <v>2000</v>
      </c>
      <c r="L30" s="111">
        <v>2000</v>
      </c>
      <c r="M30" s="111">
        <v>2000</v>
      </c>
      <c r="N30" s="111">
        <v>2000</v>
      </c>
      <c r="O30" s="111">
        <v>2000</v>
      </c>
      <c r="P30" s="111">
        <v>2000</v>
      </c>
      <c r="Q30" s="111">
        <v>2000</v>
      </c>
      <c r="R30" s="111">
        <v>2000</v>
      </c>
    </row>
    <row r="31" spans="1:21" ht="15.75" x14ac:dyDescent="0.25">
      <c r="A31" s="30"/>
      <c r="B31" t="s">
        <v>86</v>
      </c>
      <c r="C31" s="13">
        <v>17910</v>
      </c>
      <c r="D31" s="95">
        <v>17910</v>
      </c>
      <c r="E31" s="95">
        <v>17910</v>
      </c>
      <c r="F31" s="95">
        <v>17910</v>
      </c>
      <c r="G31" s="95">
        <v>17910</v>
      </c>
      <c r="H31" s="95">
        <v>17910</v>
      </c>
      <c r="I31" s="95">
        <v>17910</v>
      </c>
      <c r="J31" s="95">
        <v>17910</v>
      </c>
      <c r="K31" s="95">
        <v>17910</v>
      </c>
      <c r="L31" s="95">
        <v>17910</v>
      </c>
      <c r="M31" s="95">
        <v>17910</v>
      </c>
      <c r="N31" s="95">
        <v>17910</v>
      </c>
      <c r="O31" s="95">
        <v>17910</v>
      </c>
      <c r="P31" s="95">
        <v>17910</v>
      </c>
      <c r="Q31" s="95">
        <v>17910</v>
      </c>
      <c r="R31" s="95">
        <v>17910</v>
      </c>
    </row>
    <row r="32" spans="1:21" ht="15.75" x14ac:dyDescent="0.25">
      <c r="A32" s="31"/>
      <c r="B32" t="s">
        <v>63</v>
      </c>
      <c r="C32" s="12">
        <v>1768</v>
      </c>
      <c r="D32" s="112">
        <v>1768</v>
      </c>
      <c r="E32" s="112">
        <f t="shared" ref="E32:R32" si="23">+$S$13*0.05*0.005</f>
        <v>2251.1945214305142</v>
      </c>
      <c r="F32" s="112">
        <f t="shared" si="23"/>
        <v>2251.1945214305142</v>
      </c>
      <c r="G32" s="112">
        <f t="shared" si="23"/>
        <v>2251.1945214305142</v>
      </c>
      <c r="H32" s="112">
        <f t="shared" si="23"/>
        <v>2251.1945214305142</v>
      </c>
      <c r="I32" s="112">
        <f t="shared" si="23"/>
        <v>2251.1945214305142</v>
      </c>
      <c r="J32" s="112">
        <f t="shared" si="23"/>
        <v>2251.1945214305142</v>
      </c>
      <c r="K32" s="112">
        <f t="shared" si="23"/>
        <v>2251.1945214305142</v>
      </c>
      <c r="L32" s="112">
        <f t="shared" si="23"/>
        <v>2251.1945214305142</v>
      </c>
      <c r="M32" s="112">
        <f t="shared" si="23"/>
        <v>2251.1945214305142</v>
      </c>
      <c r="N32" s="112">
        <f t="shared" si="23"/>
        <v>2251.1945214305142</v>
      </c>
      <c r="O32" s="112">
        <f t="shared" si="23"/>
        <v>2251.1945214305142</v>
      </c>
      <c r="P32" s="112">
        <f t="shared" si="23"/>
        <v>2251.1945214305142</v>
      </c>
      <c r="Q32" s="112">
        <f t="shared" si="23"/>
        <v>2251.1945214305142</v>
      </c>
      <c r="R32" s="112">
        <f t="shared" si="23"/>
        <v>2251.1945214305142</v>
      </c>
      <c r="S32" s="18">
        <f>+SUM(D32:R32)</f>
        <v>33284.72330002721</v>
      </c>
    </row>
    <row r="33" spans="1:19" ht="15.75" x14ac:dyDescent="0.25">
      <c r="A33" s="30"/>
      <c r="B33" t="s">
        <v>59</v>
      </c>
      <c r="C33" s="13"/>
      <c r="D33" s="100"/>
      <c r="E33" s="100">
        <f t="shared" ref="E33:R33" si="24">+E55</f>
        <v>11503.571428571428</v>
      </c>
      <c r="F33" s="100">
        <f t="shared" si="24"/>
        <v>17890.109890109889</v>
      </c>
      <c r="G33" s="100">
        <f t="shared" si="24"/>
        <v>24808.859890109889</v>
      </c>
      <c r="H33" s="100">
        <f t="shared" si="24"/>
        <v>32356.587162837161</v>
      </c>
      <c r="I33" s="100">
        <f t="shared" si="24"/>
        <v>40659.087162837161</v>
      </c>
      <c r="J33" s="100">
        <f t="shared" si="24"/>
        <v>49884.087162837161</v>
      </c>
      <c r="K33" s="100">
        <f t="shared" si="24"/>
        <v>60262.212162837161</v>
      </c>
      <c r="L33" s="100">
        <f t="shared" si="24"/>
        <v>60262.212162837161</v>
      </c>
      <c r="M33" s="132">
        <f t="shared" si="24"/>
        <v>60262.212162837161</v>
      </c>
      <c r="N33" s="132">
        <f t="shared" si="24"/>
        <v>60262.212162837161</v>
      </c>
      <c r="O33" s="132">
        <f t="shared" si="24"/>
        <v>60262.212162837161</v>
      </c>
      <c r="P33" s="132">
        <f t="shared" si="24"/>
        <v>60262.212162837161</v>
      </c>
      <c r="Q33" s="132">
        <f t="shared" si="24"/>
        <v>60262.212162837161</v>
      </c>
      <c r="R33" s="132">
        <f t="shared" si="24"/>
        <v>60262.212162837161</v>
      </c>
      <c r="S33" s="18">
        <f>+SUM(D33:R33)</f>
        <v>659200</v>
      </c>
    </row>
    <row r="34" spans="1:19" x14ac:dyDescent="0.25">
      <c r="B34" t="s">
        <v>18</v>
      </c>
      <c r="C34" s="13"/>
      <c r="D34" s="101">
        <f t="shared" ref="D34:R34" si="25">+D57*$U$14</f>
        <v>2340.75</v>
      </c>
      <c r="E34" s="101">
        <f t="shared" si="25"/>
        <v>4486.3928571428569</v>
      </c>
      <c r="F34" s="101">
        <f t="shared" si="25"/>
        <v>6440.4395604395604</v>
      </c>
      <c r="G34" s="101">
        <f t="shared" si="25"/>
        <v>8186.9237637362639</v>
      </c>
      <c r="H34" s="101">
        <f t="shared" si="25"/>
        <v>9706.9761488511485</v>
      </c>
      <c r="I34" s="101">
        <f t="shared" si="25"/>
        <v>10977.953533966034</v>
      </c>
      <c r="J34" s="101">
        <f t="shared" si="25"/>
        <v>11972.18091908092</v>
      </c>
      <c r="K34" s="101">
        <f t="shared" si="25"/>
        <v>12655.064554195806</v>
      </c>
      <c r="L34" s="101">
        <f t="shared" si="25"/>
        <v>10847.198189310689</v>
      </c>
      <c r="M34" s="133">
        <f t="shared" si="25"/>
        <v>9039.3318244255752</v>
      </c>
      <c r="N34" s="133">
        <f t="shared" si="25"/>
        <v>7231.46545954046</v>
      </c>
      <c r="O34" s="133">
        <f t="shared" si="25"/>
        <v>5423.5990946553457</v>
      </c>
      <c r="P34" s="133">
        <f t="shared" si="25"/>
        <v>3615.7327297702291</v>
      </c>
      <c r="Q34" s="133">
        <f t="shared" si="25"/>
        <v>1807.8663648851145</v>
      </c>
      <c r="R34" s="133">
        <f t="shared" si="25"/>
        <v>0</v>
      </c>
      <c r="S34" s="18">
        <f>+SUM(D34:R34)</f>
        <v>104731.87500000001</v>
      </c>
    </row>
    <row r="35" spans="1:19" ht="15.75" thickBot="1" x14ac:dyDescent="0.3">
      <c r="B35" t="s">
        <v>62</v>
      </c>
      <c r="C35" s="13">
        <f>C49</f>
        <v>46166.52</v>
      </c>
      <c r="D35" s="111">
        <f>D49</f>
        <v>48296.05868568</v>
      </c>
      <c r="E35" s="111">
        <f t="shared" ref="E35:R35" si="26">E49</f>
        <v>48053.313248177074</v>
      </c>
      <c r="F35" s="111">
        <f t="shared" si="26"/>
        <v>49039.454570065187</v>
      </c>
      <c r="G35" s="111">
        <f t="shared" si="26"/>
        <v>50055.714440325013</v>
      </c>
      <c r="H35" s="111">
        <f t="shared" si="26"/>
        <v>51103.389022305288</v>
      </c>
      <c r="I35" s="111">
        <f t="shared" si="26"/>
        <v>52183.842525830718</v>
      </c>
      <c r="J35" s="111">
        <f t="shared" si="26"/>
        <v>53298.511095612637</v>
      </c>
      <c r="K35" s="111">
        <f t="shared" si="26"/>
        <v>54448.906928845208</v>
      </c>
      <c r="L35" s="111">
        <f t="shared" si="26"/>
        <v>55636.622635640379</v>
      </c>
      <c r="M35" s="111">
        <f t="shared" si="26"/>
        <v>56863.3358567705</v>
      </c>
      <c r="N35" s="111">
        <f t="shared" si="26"/>
        <v>58130.814154053318</v>
      </c>
      <c r="O35" s="111">
        <f t="shared" si="26"/>
        <v>59440.920189630342</v>
      </c>
      <c r="P35" s="111">
        <f t="shared" si="26"/>
        <v>60795.617211361801</v>
      </c>
      <c r="Q35" s="111">
        <f t="shared" si="26"/>
        <v>62196.974862591334</v>
      </c>
      <c r="R35" s="111">
        <f t="shared" si="26"/>
        <v>63647.175335624575</v>
      </c>
    </row>
    <row r="36" spans="1:19" ht="15.75" thickBot="1" x14ac:dyDescent="0.3">
      <c r="B36" s="40" t="s">
        <v>8</v>
      </c>
      <c r="C36" s="43">
        <f t="shared" ref="C36:R36" si="27">SUM(C28:C35)</f>
        <v>461111.0915025</v>
      </c>
      <c r="D36" s="43">
        <f t="shared" si="27"/>
        <v>484311.15058517945</v>
      </c>
      <c r="E36" s="43">
        <f t="shared" si="27"/>
        <v>497280.24390387064</v>
      </c>
      <c r="F36" s="43">
        <f t="shared" si="27"/>
        <v>516060.19785558019</v>
      </c>
      <c r="G36" s="43">
        <f t="shared" si="27"/>
        <v>534789.10662390129</v>
      </c>
      <c r="H36" s="43">
        <f t="shared" si="27"/>
        <v>554242.73029589863</v>
      </c>
      <c r="I36" s="43">
        <f t="shared" si="27"/>
        <v>574538.41167835251</v>
      </c>
      <c r="J36" s="43">
        <f t="shared" si="27"/>
        <v>595764.51139786665</v>
      </c>
      <c r="K36" s="43">
        <f t="shared" si="27"/>
        <v>618193.03056758607</v>
      </c>
      <c r="L36" s="43">
        <f t="shared" si="27"/>
        <v>628129.40832253452</v>
      </c>
      <c r="M36" s="43">
        <f t="shared" si="27"/>
        <v>638459.46447658341</v>
      </c>
      <c r="N36" s="43">
        <f t="shared" si="27"/>
        <v>649201.04144682293</v>
      </c>
      <c r="O36" s="43">
        <f t="shared" si="27"/>
        <v>660372.93023904122</v>
      </c>
      <c r="P36" s="43">
        <f t="shared" si="27"/>
        <v>671994.92441026459</v>
      </c>
      <c r="Q36" s="43">
        <f t="shared" si="27"/>
        <v>684087.87718416378</v>
      </c>
      <c r="R36" s="43">
        <f t="shared" si="27"/>
        <v>696673.76190555829</v>
      </c>
      <c r="S36" s="137">
        <f>SUM(D36:R36)</f>
        <v>9004098.7908932045</v>
      </c>
    </row>
    <row r="38" spans="1:19" ht="15.75" thickBot="1" x14ac:dyDescent="0.3"/>
    <row r="39" spans="1:19" ht="15.75" thickBot="1" x14ac:dyDescent="0.3">
      <c r="B39" s="38" t="s">
        <v>9</v>
      </c>
      <c r="C39" s="45">
        <f t="shared" ref="C39:R39" si="28">+C13-C36</f>
        <v>-119288.23140250001</v>
      </c>
      <c r="D39" s="45">
        <f t="shared" si="28"/>
        <v>-103143.70316519937</v>
      </c>
      <c r="E39" s="45">
        <f t="shared" si="28"/>
        <v>-72020.452687611571</v>
      </c>
      <c r="F39" s="45">
        <f t="shared" si="28"/>
        <v>-41385.082002573938</v>
      </c>
      <c r="G39" s="45">
        <f t="shared" si="28"/>
        <v>-36970.693066922249</v>
      </c>
      <c r="H39" s="45">
        <f t="shared" si="28"/>
        <v>-32122.400112016825</v>
      </c>
      <c r="I39" s="45">
        <f t="shared" si="28"/>
        <v>-26899.229583735811</v>
      </c>
      <c r="J39" s="45">
        <f t="shared" si="28"/>
        <v>-23993.368645867216</v>
      </c>
      <c r="K39" s="45">
        <f t="shared" si="28"/>
        <v>-21202.577504897839</v>
      </c>
      <c r="L39" s="45">
        <f t="shared" si="28"/>
        <v>-4783.0543366990751</v>
      </c>
      <c r="M39" s="45">
        <f t="shared" si="28"/>
        <v>12430.8543780318</v>
      </c>
      <c r="N39" s="45">
        <f t="shared" si="28"/>
        <v>30475.11316052638</v>
      </c>
      <c r="O39" s="45">
        <f t="shared" si="28"/>
        <v>49387.177370355465</v>
      </c>
      <c r="P39" s="45">
        <f t="shared" si="28"/>
        <v>69206.049863728345</v>
      </c>
      <c r="Q39" s="45">
        <f t="shared" si="28"/>
        <v>89972.339515509782</v>
      </c>
      <c r="R39" s="45">
        <f t="shared" si="28"/>
        <v>111728.32164622436</v>
      </c>
      <c r="S39" s="138">
        <f>+SUM(D39:R39)</f>
        <v>679.29482885223115</v>
      </c>
    </row>
    <row r="41" spans="1:19" x14ac:dyDescent="0.25">
      <c r="B41" t="s">
        <v>79</v>
      </c>
      <c r="C41" s="18">
        <f t="shared" ref="C41:R41" si="29">+C36-C34-C33</f>
        <v>461111.0915025</v>
      </c>
      <c r="D41" s="18">
        <f t="shared" si="29"/>
        <v>481970.40058517945</v>
      </c>
      <c r="E41" s="18">
        <f t="shared" si="29"/>
        <v>481290.27961815638</v>
      </c>
      <c r="F41" s="18">
        <f t="shared" si="29"/>
        <v>491729.64840503072</v>
      </c>
      <c r="G41" s="18">
        <f t="shared" si="29"/>
        <v>501793.32297005516</v>
      </c>
      <c r="H41" s="18">
        <f t="shared" si="29"/>
        <v>512179.16698421037</v>
      </c>
      <c r="I41" s="18">
        <f t="shared" si="29"/>
        <v>522901.37098154938</v>
      </c>
      <c r="J41" s="18">
        <f t="shared" si="29"/>
        <v>533908.24331594852</v>
      </c>
      <c r="K41" s="18">
        <f t="shared" si="29"/>
        <v>545275.75385055307</v>
      </c>
      <c r="L41" s="18">
        <f t="shared" si="29"/>
        <v>557019.99797038664</v>
      </c>
      <c r="M41" s="18">
        <f t="shared" si="29"/>
        <v>569157.92048932065</v>
      </c>
      <c r="N41" s="18">
        <f t="shared" si="29"/>
        <v>581707.36382444529</v>
      </c>
      <c r="O41" s="18">
        <f t="shared" si="29"/>
        <v>594687.1189815487</v>
      </c>
      <c r="P41" s="18">
        <f t="shared" si="29"/>
        <v>608116.97951765719</v>
      </c>
      <c r="Q41" s="18">
        <f t="shared" si="29"/>
        <v>622017.7986564415</v>
      </c>
      <c r="R41" s="18">
        <f t="shared" si="29"/>
        <v>636411.54974272114</v>
      </c>
      <c r="S41" s="18"/>
    </row>
    <row r="42" spans="1:19" x14ac:dyDescent="0.25">
      <c r="B42" t="s">
        <v>80</v>
      </c>
      <c r="C42" s="18">
        <f t="shared" ref="C42:M42" si="30">+C13-C41</f>
        <v>-119288.23140250001</v>
      </c>
      <c r="D42" s="18">
        <f t="shared" si="30"/>
        <v>-100802.95316519937</v>
      </c>
      <c r="E42" s="18">
        <f t="shared" si="30"/>
        <v>-56030.48840189731</v>
      </c>
      <c r="F42" s="18">
        <f t="shared" si="30"/>
        <v>-17054.532552024466</v>
      </c>
      <c r="G42" s="18">
        <f t="shared" si="30"/>
        <v>-3974.9094130761223</v>
      </c>
      <c r="H42" s="18">
        <f t="shared" si="30"/>
        <v>9941.1631996714277</v>
      </c>
      <c r="I42" s="18">
        <f t="shared" si="30"/>
        <v>24737.811113067321</v>
      </c>
      <c r="J42" s="18">
        <f t="shared" si="30"/>
        <v>37862.89943605091</v>
      </c>
      <c r="K42" s="18">
        <f t="shared" si="30"/>
        <v>51714.699212135165</v>
      </c>
      <c r="L42" s="18">
        <f t="shared" si="30"/>
        <v>66326.356015448808</v>
      </c>
      <c r="M42" s="18">
        <f t="shared" si="30"/>
        <v>81732.398365294561</v>
      </c>
      <c r="N42" s="18">
        <f t="shared" ref="N42:R42" si="31">+N13-N41</f>
        <v>97968.79078290402</v>
      </c>
      <c r="O42" s="18">
        <f t="shared" si="31"/>
        <v>115072.98862784798</v>
      </c>
      <c r="P42" s="18">
        <f t="shared" si="31"/>
        <v>133083.99475633574</v>
      </c>
      <c r="Q42" s="18">
        <f t="shared" si="31"/>
        <v>152042.41804323206</v>
      </c>
      <c r="R42" s="18">
        <f t="shared" si="31"/>
        <v>171990.53380906151</v>
      </c>
      <c r="S42" s="18"/>
    </row>
    <row r="43" spans="1:19" x14ac:dyDescent="0.25">
      <c r="B43" s="1" t="s">
        <v>81</v>
      </c>
      <c r="C43" s="92">
        <f t="shared" ref="C43:M43" si="32">+C42/C13</f>
        <v>-0.34897675178190929</v>
      </c>
      <c r="D43" s="92">
        <f t="shared" si="32"/>
        <v>-0.26445845217766484</v>
      </c>
      <c r="E43" s="92">
        <f t="shared" si="32"/>
        <v>-0.13175590441233109</v>
      </c>
      <c r="F43" s="92">
        <f t="shared" si="32"/>
        <v>-3.5928853193361379E-2</v>
      </c>
      <c r="G43" s="92">
        <f t="shared" si="32"/>
        <v>-7.9846572662406433E-3</v>
      </c>
      <c r="H43" s="92">
        <f t="shared" si="32"/>
        <v>1.903998489422988E-2</v>
      </c>
      <c r="I43" s="92">
        <f t="shared" si="32"/>
        <v>4.5171733363653516E-2</v>
      </c>
      <c r="J43" s="92">
        <f t="shared" si="32"/>
        <v>6.6220374910514856E-2</v>
      </c>
      <c r="K43" s="92">
        <f t="shared" si="32"/>
        <v>8.6625672063644799E-2</v>
      </c>
      <c r="L43" s="92">
        <f t="shared" si="32"/>
        <v>0.10640369610143892</v>
      </c>
      <c r="M43" s="92">
        <f t="shared" si="32"/>
        <v>0.12557015521312517</v>
      </c>
      <c r="N43" s="92">
        <f>+N42/N13</f>
        <v>0.14414039703879394</v>
      </c>
      <c r="O43" s="92">
        <f t="shared" ref="O43:R43" si="33">+O42/O13</f>
        <v>0.16212941160561289</v>
      </c>
      <c r="P43" s="92">
        <f t="shared" si="33"/>
        <v>0.17955183462446422</v>
      </c>
      <c r="Q43" s="92">
        <f t="shared" si="33"/>
        <v>0.19642195111316871</v>
      </c>
      <c r="R43" s="92">
        <f t="shared" si="33"/>
        <v>0.21275369931433949</v>
      </c>
      <c r="S43" s="144"/>
    </row>
    <row r="44" spans="1:19" x14ac:dyDescent="0.25">
      <c r="B44" t="s">
        <v>82</v>
      </c>
      <c r="C44" s="18">
        <f t="shared" ref="C44:R44" si="34">+C42-C33</f>
        <v>-119288.23140250001</v>
      </c>
      <c r="D44" s="18">
        <f t="shared" si="34"/>
        <v>-100802.95316519937</v>
      </c>
      <c r="E44" s="18">
        <f t="shared" si="34"/>
        <v>-67534.05983046873</v>
      </c>
      <c r="F44" s="18">
        <f t="shared" si="34"/>
        <v>-34944.642442134354</v>
      </c>
      <c r="G44" s="18">
        <f t="shared" si="34"/>
        <v>-28783.769303186011</v>
      </c>
      <c r="H44" s="18">
        <f t="shared" si="34"/>
        <v>-22415.423963165733</v>
      </c>
      <c r="I44" s="18">
        <f t="shared" si="34"/>
        <v>-15921.27604976984</v>
      </c>
      <c r="J44" s="18">
        <f t="shared" si="34"/>
        <v>-12021.187726786251</v>
      </c>
      <c r="K44" s="18">
        <f t="shared" si="34"/>
        <v>-8547.5129507019956</v>
      </c>
      <c r="L44" s="18">
        <f t="shared" si="34"/>
        <v>6064.1438526116472</v>
      </c>
      <c r="M44" s="18">
        <f t="shared" si="34"/>
        <v>21470.1862024574</v>
      </c>
      <c r="N44" s="18">
        <f t="shared" si="34"/>
        <v>37706.578620066859</v>
      </c>
      <c r="O44" s="18">
        <f t="shared" si="34"/>
        <v>54810.776465010822</v>
      </c>
      <c r="P44" s="18">
        <f t="shared" si="34"/>
        <v>72821.782593498589</v>
      </c>
      <c r="Q44" s="18">
        <f t="shared" si="34"/>
        <v>91780.205880394904</v>
      </c>
      <c r="R44" s="18">
        <f t="shared" si="34"/>
        <v>111728.32164622436</v>
      </c>
      <c r="S44" s="18"/>
    </row>
    <row r="45" spans="1:19" x14ac:dyDescent="0.25">
      <c r="B45" s="1" t="s">
        <v>83</v>
      </c>
      <c r="C45" s="92">
        <f t="shared" ref="C45:M45" si="35">+C44/C13</f>
        <v>-0.34897675178190929</v>
      </c>
      <c r="D45" s="92">
        <f t="shared" si="35"/>
        <v>-0.26445845217766484</v>
      </c>
      <c r="E45" s="92">
        <f t="shared" si="35"/>
        <v>-0.15880659593355573</v>
      </c>
      <c r="F45" s="92">
        <f t="shared" si="35"/>
        <v>-7.3618020568315914E-2</v>
      </c>
      <c r="G45" s="92">
        <f t="shared" si="35"/>
        <v>-5.781981646183422E-2</v>
      </c>
      <c r="H45" s="92">
        <f t="shared" si="35"/>
        <v>-4.2931528744095074E-2</v>
      </c>
      <c r="I45" s="92">
        <f t="shared" si="35"/>
        <v>-2.9072565605831852E-2</v>
      </c>
      <c r="J45" s="92">
        <f t="shared" si="35"/>
        <v>-2.102447435336962E-2</v>
      </c>
      <c r="K45" s="92">
        <f t="shared" si="35"/>
        <v>-1.4317671089799566E-2</v>
      </c>
      <c r="L45" s="92">
        <f t="shared" si="35"/>
        <v>9.7283698121212476E-3</v>
      </c>
      <c r="M45" s="92">
        <f t="shared" si="35"/>
        <v>3.2985874241053266E-2</v>
      </c>
      <c r="N45" s="92">
        <f t="shared" ref="N45:R45" si="36">+N44/N13</f>
        <v>5.5477271586569121E-2</v>
      </c>
      <c r="O45" s="92">
        <f t="shared" si="36"/>
        <v>7.7224369019024824E-2</v>
      </c>
      <c r="P45" s="92">
        <f t="shared" si="36"/>
        <v>9.8248363292867485E-2</v>
      </c>
      <c r="Q45" s="92">
        <f t="shared" si="36"/>
        <v>0.11856985270695622</v>
      </c>
      <c r="R45" s="92">
        <f t="shared" si="36"/>
        <v>0.13820884918472323</v>
      </c>
      <c r="S45" s="144"/>
    </row>
    <row r="46" spans="1:19" x14ac:dyDescent="0.25">
      <c r="B46" t="s">
        <v>84</v>
      </c>
      <c r="C46" s="18">
        <f t="shared" ref="C46:R46" si="37">+C44-C34</f>
        <v>-119288.23140250001</v>
      </c>
      <c r="D46" s="18">
        <f t="shared" si="37"/>
        <v>-103143.70316519937</v>
      </c>
      <c r="E46" s="18">
        <f t="shared" si="37"/>
        <v>-72020.452687611585</v>
      </c>
      <c r="F46" s="18">
        <f t="shared" si="37"/>
        <v>-41385.082002573916</v>
      </c>
      <c r="G46" s="18">
        <f t="shared" si="37"/>
        <v>-36970.693066922278</v>
      </c>
      <c r="H46" s="18">
        <f t="shared" si="37"/>
        <v>-32122.400112016883</v>
      </c>
      <c r="I46" s="18">
        <f t="shared" si="37"/>
        <v>-26899.229583735876</v>
      </c>
      <c r="J46" s="18">
        <f t="shared" si="37"/>
        <v>-23993.368645867173</v>
      </c>
      <c r="K46" s="18">
        <f t="shared" si="37"/>
        <v>-21202.577504897803</v>
      </c>
      <c r="L46" s="18">
        <f t="shared" si="37"/>
        <v>-4783.0543366990423</v>
      </c>
      <c r="M46" s="18">
        <f t="shared" si="37"/>
        <v>12430.854378031825</v>
      </c>
      <c r="N46" s="18">
        <f t="shared" si="37"/>
        <v>30475.113160526398</v>
      </c>
      <c r="O46" s="18">
        <f t="shared" si="37"/>
        <v>49387.177370355479</v>
      </c>
      <c r="P46" s="18">
        <f t="shared" si="37"/>
        <v>69206.04986372836</v>
      </c>
      <c r="Q46" s="18">
        <f t="shared" si="37"/>
        <v>89972.339515509782</v>
      </c>
      <c r="R46" s="18">
        <f t="shared" si="37"/>
        <v>111728.32164622436</v>
      </c>
      <c r="S46" s="18"/>
    </row>
    <row r="48" spans="1:19" ht="15" customHeight="1" x14ac:dyDescent="0.25">
      <c r="B48" s="1" t="s">
        <v>57</v>
      </c>
      <c r="C48" s="18"/>
    </row>
    <row r="49" spans="2:20" x14ac:dyDescent="0.25">
      <c r="B49" t="s">
        <v>120</v>
      </c>
      <c r="C49" s="102">
        <f>+(SUM(C16:C25)-C18)*$U$19+(C18*$U$20)</f>
        <v>46166.52</v>
      </c>
      <c r="D49" s="95">
        <f t="shared" ref="D49:R49" si="38">+(SUM(D16:D25)-D18)*$U$19+(D18*$U$20)</f>
        <v>48296.05868568</v>
      </c>
      <c r="E49" s="95">
        <f t="shared" si="38"/>
        <v>48053.313248177074</v>
      </c>
      <c r="F49" s="95">
        <f t="shared" si="38"/>
        <v>49039.454570065187</v>
      </c>
      <c r="G49" s="95">
        <f t="shared" si="38"/>
        <v>50055.714440325013</v>
      </c>
      <c r="H49" s="95">
        <f t="shared" si="38"/>
        <v>51103.389022305288</v>
      </c>
      <c r="I49" s="95">
        <f t="shared" si="38"/>
        <v>52183.842525830718</v>
      </c>
      <c r="J49" s="95">
        <f t="shared" si="38"/>
        <v>53298.511095612637</v>
      </c>
      <c r="K49" s="95">
        <f t="shared" si="38"/>
        <v>54448.906928845208</v>
      </c>
      <c r="L49" s="95">
        <f t="shared" si="38"/>
        <v>55636.622635640379</v>
      </c>
      <c r="M49" s="113">
        <f t="shared" si="38"/>
        <v>56863.3358567705</v>
      </c>
      <c r="N49" s="113">
        <f t="shared" si="38"/>
        <v>58130.814154053318</v>
      </c>
      <c r="O49" s="113">
        <f t="shared" si="38"/>
        <v>59440.920189630342</v>
      </c>
      <c r="P49" s="113">
        <f t="shared" si="38"/>
        <v>60795.617211361801</v>
      </c>
      <c r="Q49" s="113">
        <f t="shared" si="38"/>
        <v>62196.974862591334</v>
      </c>
      <c r="R49" s="113">
        <f t="shared" si="38"/>
        <v>63647.175335624575</v>
      </c>
      <c r="S49" s="18"/>
    </row>
    <row r="50" spans="2:20" x14ac:dyDescent="0.25">
      <c r="B50" t="s">
        <v>67</v>
      </c>
      <c r="C50" s="93"/>
      <c r="D50" s="95">
        <f t="shared" ref="D50:R50" si="39">+D39+D49</f>
        <v>-54847.644479519375</v>
      </c>
      <c r="E50" s="95">
        <f t="shared" si="39"/>
        <v>-23967.139439434497</v>
      </c>
      <c r="F50" s="95">
        <f t="shared" si="39"/>
        <v>7654.3725674912494</v>
      </c>
      <c r="G50" s="95">
        <f t="shared" si="39"/>
        <v>13085.021373402764</v>
      </c>
      <c r="H50" s="95">
        <f t="shared" si="39"/>
        <v>18980.988910288463</v>
      </c>
      <c r="I50" s="95">
        <f t="shared" si="39"/>
        <v>25284.612942094907</v>
      </c>
      <c r="J50" s="95">
        <f t="shared" si="39"/>
        <v>29305.142449745421</v>
      </c>
      <c r="K50" s="95">
        <f t="shared" si="39"/>
        <v>33246.329423947369</v>
      </c>
      <c r="L50" s="95">
        <f t="shared" si="39"/>
        <v>50853.568298941304</v>
      </c>
      <c r="M50" s="113">
        <f t="shared" si="39"/>
        <v>69294.1902348023</v>
      </c>
      <c r="N50" s="113">
        <f t="shared" si="39"/>
        <v>88605.927314579691</v>
      </c>
      <c r="O50" s="113">
        <f t="shared" si="39"/>
        <v>108828.09755998581</v>
      </c>
      <c r="P50" s="113">
        <f t="shared" si="39"/>
        <v>130001.66707509014</v>
      </c>
      <c r="Q50" s="113">
        <f t="shared" si="39"/>
        <v>152169.31437810112</v>
      </c>
      <c r="R50" s="113">
        <f t="shared" si="39"/>
        <v>175375.49698184893</v>
      </c>
      <c r="S50" s="139">
        <f>SUM(D50:R50)</f>
        <v>823869.94559136569</v>
      </c>
    </row>
    <row r="52" spans="2:20" x14ac:dyDescent="0.25">
      <c r="B52" t="s">
        <v>121</v>
      </c>
    </row>
    <row r="53" spans="2:20" s="18" customFormat="1" x14ac:dyDescent="0.25">
      <c r="B53" t="s">
        <v>19</v>
      </c>
      <c r="C53" s="12">
        <f>C70/8</f>
        <v>83025</v>
      </c>
      <c r="D53" s="13">
        <f>D70</f>
        <v>83025</v>
      </c>
      <c r="E53" s="13">
        <f t="shared" ref="E53:K53" si="40">E70</f>
        <v>83025</v>
      </c>
      <c r="F53" s="13">
        <f t="shared" si="40"/>
        <v>83025</v>
      </c>
      <c r="G53" s="13">
        <f t="shared" si="40"/>
        <v>83025</v>
      </c>
      <c r="H53" s="13">
        <f t="shared" si="40"/>
        <v>83025</v>
      </c>
      <c r="I53" s="13">
        <f t="shared" si="40"/>
        <v>83025</v>
      </c>
      <c r="J53" s="13">
        <f t="shared" si="40"/>
        <v>83025</v>
      </c>
      <c r="K53" s="13">
        <f t="shared" si="40"/>
        <v>83025</v>
      </c>
      <c r="L53" s="97">
        <f t="shared" ref="L53:M53" si="41">L70</f>
        <v>0</v>
      </c>
      <c r="M53" s="131">
        <f t="shared" si="41"/>
        <v>0</v>
      </c>
      <c r="N53" s="131">
        <f t="shared" ref="N53:R53" si="42">N70</f>
        <v>0</v>
      </c>
      <c r="O53" s="131">
        <f t="shared" si="42"/>
        <v>0</v>
      </c>
      <c r="P53" s="131">
        <f t="shared" si="42"/>
        <v>0</v>
      </c>
      <c r="Q53" s="131">
        <f t="shared" si="42"/>
        <v>0</v>
      </c>
      <c r="R53" s="131">
        <f t="shared" si="42"/>
        <v>0</v>
      </c>
      <c r="S53" s="140">
        <f>SUM(D53:R53)</f>
        <v>664200</v>
      </c>
    </row>
    <row r="54" spans="2:20" x14ac:dyDescent="0.25">
      <c r="B54" t="s">
        <v>20</v>
      </c>
      <c r="C54" s="12"/>
      <c r="D54" s="97">
        <f>+D53</f>
        <v>83025</v>
      </c>
      <c r="E54" s="97">
        <f>+D54+E53</f>
        <v>166050</v>
      </c>
      <c r="F54" s="97">
        <f>+E54+F53</f>
        <v>249075</v>
      </c>
      <c r="G54" s="97">
        <f>+F54+G53</f>
        <v>332100</v>
      </c>
      <c r="H54" s="97">
        <f>+G54+H53</f>
        <v>415125</v>
      </c>
      <c r="I54" s="97">
        <f t="shared" ref="I54:M54" si="43">+H54+I53</f>
        <v>498150</v>
      </c>
      <c r="J54" s="97">
        <f t="shared" si="43"/>
        <v>581175</v>
      </c>
      <c r="K54" s="97">
        <f t="shared" si="43"/>
        <v>664200</v>
      </c>
      <c r="L54" s="97">
        <f t="shared" si="43"/>
        <v>664200</v>
      </c>
      <c r="M54" s="131">
        <f t="shared" si="43"/>
        <v>664200</v>
      </c>
      <c r="N54" s="131">
        <f t="shared" ref="N54" si="44">+M54+N53</f>
        <v>664200</v>
      </c>
      <c r="O54" s="131">
        <f t="shared" ref="O54" si="45">+N54+O53</f>
        <v>664200</v>
      </c>
      <c r="P54" s="131">
        <f t="shared" ref="P54" si="46">+O54+P53</f>
        <v>664200</v>
      </c>
      <c r="Q54" s="131">
        <f t="shared" ref="Q54" si="47">+P54+Q53</f>
        <v>664200</v>
      </c>
      <c r="R54" s="131">
        <f t="shared" ref="R54" si="48">+Q54+R53</f>
        <v>664200</v>
      </c>
    </row>
    <row r="55" spans="2:20" ht="15" customHeight="1" x14ac:dyDescent="0.25">
      <c r="B55" t="s">
        <v>21</v>
      </c>
      <c r="C55" s="12"/>
      <c r="D55" s="103">
        <v>5000</v>
      </c>
      <c r="E55" s="104">
        <f>+((E53)/E3)+(D57/E3)</f>
        <v>11503.571428571428</v>
      </c>
      <c r="F55" s="104">
        <f t="shared" ref="F55:R55" si="49">+F53/F3+(E55)</f>
        <v>17890.109890109889</v>
      </c>
      <c r="G55" s="104">
        <f t="shared" si="49"/>
        <v>24808.859890109889</v>
      </c>
      <c r="H55" s="104">
        <f t="shared" si="49"/>
        <v>32356.587162837161</v>
      </c>
      <c r="I55" s="104">
        <f t="shared" si="49"/>
        <v>40659.087162837161</v>
      </c>
      <c r="J55" s="104">
        <f t="shared" si="49"/>
        <v>49884.087162837161</v>
      </c>
      <c r="K55" s="104">
        <f t="shared" si="49"/>
        <v>60262.212162837161</v>
      </c>
      <c r="L55" s="104">
        <f t="shared" si="49"/>
        <v>60262.212162837161</v>
      </c>
      <c r="M55" s="104">
        <f t="shared" si="49"/>
        <v>60262.212162837161</v>
      </c>
      <c r="N55" s="104">
        <f t="shared" si="49"/>
        <v>60262.212162837161</v>
      </c>
      <c r="O55" s="104">
        <f t="shared" si="49"/>
        <v>60262.212162837161</v>
      </c>
      <c r="P55" s="104">
        <f t="shared" si="49"/>
        <v>60262.212162837161</v>
      </c>
      <c r="Q55" s="104">
        <f t="shared" si="49"/>
        <v>60262.212162837161</v>
      </c>
      <c r="R55" s="104">
        <f t="shared" si="49"/>
        <v>60262.212162837161</v>
      </c>
      <c r="S55" s="140">
        <f>SUM(D55:R55)</f>
        <v>664200</v>
      </c>
    </row>
    <row r="56" spans="2:20" ht="15" customHeight="1" x14ac:dyDescent="0.25">
      <c r="B56" t="s">
        <v>22</v>
      </c>
      <c r="C56" s="12"/>
      <c r="D56" s="97">
        <f>+D55</f>
        <v>5000</v>
      </c>
      <c r="E56" s="97">
        <f>+D56+E55</f>
        <v>16503.571428571428</v>
      </c>
      <c r="F56" s="97">
        <f t="shared" ref="F56:M56" si="50">+E56+F55</f>
        <v>34393.681318681316</v>
      </c>
      <c r="G56" s="97">
        <f t="shared" si="50"/>
        <v>59202.541208791205</v>
      </c>
      <c r="H56" s="97">
        <f t="shared" si="50"/>
        <v>91559.128371628365</v>
      </c>
      <c r="I56" s="97">
        <f t="shared" si="50"/>
        <v>132218.21553446553</v>
      </c>
      <c r="J56" s="97">
        <f t="shared" si="50"/>
        <v>182102.30269730269</v>
      </c>
      <c r="K56" s="97">
        <f t="shared" si="50"/>
        <v>242364.51486013984</v>
      </c>
      <c r="L56" s="97">
        <f t="shared" si="50"/>
        <v>302626.72702297702</v>
      </c>
      <c r="M56" s="131">
        <f t="shared" si="50"/>
        <v>362888.93918581418</v>
      </c>
      <c r="N56" s="131">
        <f t="shared" ref="N56" si="51">+M56+N55</f>
        <v>423151.15134865133</v>
      </c>
      <c r="O56" s="131">
        <f t="shared" ref="O56" si="52">+N56+O55</f>
        <v>483413.36351148848</v>
      </c>
      <c r="P56" s="131">
        <f t="shared" ref="P56" si="53">+O56+P55</f>
        <v>543675.57567432569</v>
      </c>
      <c r="Q56" s="131">
        <f t="shared" ref="Q56" si="54">+P56+Q55</f>
        <v>603937.78783716285</v>
      </c>
      <c r="R56" s="131">
        <f t="shared" ref="R56" si="55">+Q56+R55</f>
        <v>664200</v>
      </c>
      <c r="T56" s="18"/>
    </row>
    <row r="57" spans="2:20" x14ac:dyDescent="0.25">
      <c r="B57" t="s">
        <v>23</v>
      </c>
      <c r="C57" s="12"/>
      <c r="D57" s="97">
        <f>+D54-D56</f>
        <v>78025</v>
      </c>
      <c r="E57" s="97">
        <f>+E54-E56</f>
        <v>149546.42857142858</v>
      </c>
      <c r="F57" s="97">
        <f t="shared" ref="F57:M57" si="56">+F54-F56</f>
        <v>214681.31868131869</v>
      </c>
      <c r="G57" s="97">
        <f t="shared" si="56"/>
        <v>272897.4587912088</v>
      </c>
      <c r="H57" s="97">
        <f t="shared" si="56"/>
        <v>323565.87162837165</v>
      </c>
      <c r="I57" s="97">
        <f t="shared" si="56"/>
        <v>365931.7844655345</v>
      </c>
      <c r="J57" s="97">
        <f t="shared" si="56"/>
        <v>399072.69730269734</v>
      </c>
      <c r="K57" s="97">
        <f t="shared" si="56"/>
        <v>421835.48513986019</v>
      </c>
      <c r="L57" s="97">
        <f t="shared" si="56"/>
        <v>361573.27297702298</v>
      </c>
      <c r="M57" s="131">
        <f t="shared" si="56"/>
        <v>301311.06081418582</v>
      </c>
      <c r="N57" s="131">
        <f t="shared" ref="N57:R57" si="57">+N54-N56</f>
        <v>241048.84865134867</v>
      </c>
      <c r="O57" s="131">
        <f t="shared" si="57"/>
        <v>180786.63648851152</v>
      </c>
      <c r="P57" s="131">
        <f t="shared" si="57"/>
        <v>120524.42432567431</v>
      </c>
      <c r="Q57" s="131">
        <f t="shared" si="57"/>
        <v>60262.212162837153</v>
      </c>
      <c r="R57" s="131">
        <f t="shared" si="57"/>
        <v>0</v>
      </c>
      <c r="T57" s="18"/>
    </row>
    <row r="58" spans="2:20" x14ac:dyDescent="0.25">
      <c r="B58" t="s">
        <v>18</v>
      </c>
      <c r="C58" s="12"/>
      <c r="D58" s="105">
        <f t="shared" ref="D58:R58" si="58">+D34</f>
        <v>2340.75</v>
      </c>
      <c r="E58" s="105">
        <f t="shared" si="58"/>
        <v>4486.3928571428569</v>
      </c>
      <c r="F58" s="105">
        <f t="shared" si="58"/>
        <v>6440.4395604395604</v>
      </c>
      <c r="G58" s="105">
        <f t="shared" si="58"/>
        <v>8186.9237637362639</v>
      </c>
      <c r="H58" s="105">
        <f t="shared" si="58"/>
        <v>9706.9761488511485</v>
      </c>
      <c r="I58" s="105">
        <f t="shared" si="58"/>
        <v>10977.953533966034</v>
      </c>
      <c r="J58" s="105">
        <f t="shared" si="58"/>
        <v>11972.18091908092</v>
      </c>
      <c r="K58" s="105">
        <f t="shared" si="58"/>
        <v>12655.064554195806</v>
      </c>
      <c r="L58" s="105">
        <f t="shared" si="58"/>
        <v>10847.198189310689</v>
      </c>
      <c r="M58" s="134">
        <f t="shared" si="58"/>
        <v>9039.3318244255752</v>
      </c>
      <c r="N58" s="134">
        <f t="shared" si="58"/>
        <v>7231.46545954046</v>
      </c>
      <c r="O58" s="134">
        <f t="shared" si="58"/>
        <v>5423.5990946553457</v>
      </c>
      <c r="P58" s="134">
        <f t="shared" si="58"/>
        <v>3615.7327297702291</v>
      </c>
      <c r="Q58" s="134">
        <f t="shared" si="58"/>
        <v>1807.8663648851145</v>
      </c>
      <c r="R58" s="134">
        <f t="shared" si="58"/>
        <v>0</v>
      </c>
      <c r="S58" s="139">
        <f>SUM(D58:R58)</f>
        <v>104731.87500000001</v>
      </c>
      <c r="T58" s="150"/>
    </row>
    <row r="59" spans="2:20" x14ac:dyDescent="0.25">
      <c r="B59" t="s">
        <v>78</v>
      </c>
      <c r="C59" s="12"/>
      <c r="D59" s="97">
        <f>+D28-D13</f>
        <v>30828.894479519397</v>
      </c>
      <c r="E59" s="97">
        <f>+E28-E13</f>
        <v>-14184.01936771028</v>
      </c>
      <c r="F59" s="94"/>
      <c r="G59" s="94"/>
      <c r="H59" s="94"/>
      <c r="I59" s="94"/>
      <c r="J59" s="94"/>
      <c r="K59" s="94"/>
      <c r="L59" s="94"/>
      <c r="M59" s="135"/>
    </row>
    <row r="61" spans="2:20" ht="15" customHeight="1" x14ac:dyDescent="0.25">
      <c r="B61" s="18" t="s">
        <v>98</v>
      </c>
      <c r="C61" s="13">
        <v>230664</v>
      </c>
      <c r="D61" s="95">
        <f t="shared" ref="D61:R61" si="59">C61*(1+$U$6)*(1+$U$5)</f>
        <v>232970.64</v>
      </c>
      <c r="E61" s="95">
        <f t="shared" si="59"/>
        <v>235300.34640000001</v>
      </c>
      <c r="F61" s="95">
        <f t="shared" si="59"/>
        <v>237653.34986400002</v>
      </c>
      <c r="G61" s="95">
        <f t="shared" si="59"/>
        <v>240029.88336264002</v>
      </c>
      <c r="H61" s="95">
        <f t="shared" si="59"/>
        <v>242430.18219626643</v>
      </c>
      <c r="I61" s="95">
        <f t="shared" si="59"/>
        <v>244854.48401822909</v>
      </c>
      <c r="J61" s="95">
        <f t="shared" si="59"/>
        <v>247303.02885841139</v>
      </c>
      <c r="K61" s="95">
        <f t="shared" si="59"/>
        <v>249776.05914699551</v>
      </c>
      <c r="L61" s="95">
        <f t="shared" si="59"/>
        <v>252273.81973846548</v>
      </c>
      <c r="M61" s="113">
        <f t="shared" si="59"/>
        <v>254796.55793585014</v>
      </c>
      <c r="N61" s="113">
        <f t="shared" si="59"/>
        <v>257344.52351520865</v>
      </c>
      <c r="O61" s="113">
        <f t="shared" si="59"/>
        <v>259917.96875036074</v>
      </c>
      <c r="P61" s="113">
        <f t="shared" si="59"/>
        <v>262517.14843786438</v>
      </c>
      <c r="Q61" s="113">
        <f t="shared" si="59"/>
        <v>265142.31992224301</v>
      </c>
      <c r="R61" s="113">
        <f t="shared" si="59"/>
        <v>267793.74312146544</v>
      </c>
      <c r="S61" s="18"/>
    </row>
    <row r="62" spans="2:20" x14ac:dyDescent="0.25">
      <c r="B62" t="s">
        <v>60</v>
      </c>
      <c r="C62" s="13">
        <v>212250</v>
      </c>
      <c r="D62" s="95">
        <f t="shared" ref="D62:M62" si="60">+D7</f>
        <v>214372.5</v>
      </c>
      <c r="E62" s="95">
        <f t="shared" si="60"/>
        <v>216516.22500000001</v>
      </c>
      <c r="F62" s="95">
        <f t="shared" si="60"/>
        <v>218681.38725</v>
      </c>
      <c r="G62" s="95">
        <f t="shared" si="60"/>
        <v>220868.2011225</v>
      </c>
      <c r="H62" s="95">
        <f t="shared" si="60"/>
        <v>223076.883133725</v>
      </c>
      <c r="I62" s="95">
        <f t="shared" si="60"/>
        <v>225307.65196506225</v>
      </c>
      <c r="J62" s="95">
        <f t="shared" si="60"/>
        <v>227560.72848471286</v>
      </c>
      <c r="K62" s="95">
        <f t="shared" si="60"/>
        <v>229836.33576955998</v>
      </c>
      <c r="L62" s="95">
        <f t="shared" si="60"/>
        <v>232134.69912725559</v>
      </c>
      <c r="M62" s="113">
        <f t="shared" si="60"/>
        <v>234456.04611852815</v>
      </c>
      <c r="N62" s="113">
        <f>+N7</f>
        <v>236800.60657971344</v>
      </c>
      <c r="O62" s="113">
        <f>+O7</f>
        <v>239168.61264551058</v>
      </c>
      <c r="P62" s="113">
        <f>+P7</f>
        <v>241560.2987719657</v>
      </c>
      <c r="Q62" s="113">
        <f>+Q7</f>
        <v>243975.90175968537</v>
      </c>
      <c r="R62" s="113">
        <f>+R7</f>
        <v>246415.66077728223</v>
      </c>
      <c r="S62" s="164" t="s">
        <v>69</v>
      </c>
    </row>
    <row r="63" spans="2:20" x14ac:dyDescent="0.25">
      <c r="B63" t="s">
        <v>24</v>
      </c>
      <c r="C63" s="13">
        <v>421469</v>
      </c>
      <c r="D63" s="95">
        <f>D61/D64</f>
        <v>461328</v>
      </c>
      <c r="E63" s="95">
        <f t="shared" ref="E63:M63" si="61">E61/E64</f>
        <v>461328</v>
      </c>
      <c r="F63" s="95">
        <f t="shared" si="61"/>
        <v>461328.00000000006</v>
      </c>
      <c r="G63" s="95">
        <f t="shared" si="61"/>
        <v>456805.17647058831</v>
      </c>
      <c r="H63" s="95">
        <f t="shared" si="61"/>
        <v>452326.69434832764</v>
      </c>
      <c r="I63" s="95">
        <f t="shared" si="61"/>
        <v>447892.11891354009</v>
      </c>
      <c r="J63" s="95">
        <f t="shared" si="61"/>
        <v>443501.01970850537</v>
      </c>
      <c r="K63" s="95">
        <f t="shared" si="61"/>
        <v>439152.97049567685</v>
      </c>
      <c r="L63" s="95">
        <f t="shared" si="61"/>
        <v>434847.54921630753</v>
      </c>
      <c r="M63" s="113">
        <f t="shared" si="61"/>
        <v>430584.33794948104</v>
      </c>
      <c r="N63" s="113">
        <f t="shared" ref="N63:R63" si="62">N61/N64</f>
        <v>426362.92287154496</v>
      </c>
      <c r="O63" s="113">
        <f t="shared" si="62"/>
        <v>422182.8942159416</v>
      </c>
      <c r="P63" s="113">
        <f t="shared" si="62"/>
        <v>418043.84623343236</v>
      </c>
      <c r="Q63" s="113">
        <f t="shared" si="62"/>
        <v>413945.37715271243</v>
      </c>
      <c r="R63" s="113">
        <f t="shared" si="62"/>
        <v>409887.08914141136</v>
      </c>
      <c r="S63" s="164"/>
    </row>
    <row r="64" spans="2:20" ht="15" customHeight="1" x14ac:dyDescent="0.25">
      <c r="B64" t="s">
        <v>25</v>
      </c>
      <c r="C64" s="106">
        <v>0.5</v>
      </c>
      <c r="D64" s="108">
        <f>C64*1.01</f>
        <v>0.505</v>
      </c>
      <c r="E64" s="108">
        <f t="shared" ref="E64:F64" si="63">D64*1.01</f>
        <v>0.51005</v>
      </c>
      <c r="F64" s="108">
        <f t="shared" si="63"/>
        <v>0.51515049999999996</v>
      </c>
      <c r="G64" s="108">
        <f t="shared" ref="G64:R64" si="64">F64*1.02</f>
        <v>0.52545350999999996</v>
      </c>
      <c r="H64" s="108">
        <f t="shared" si="64"/>
        <v>0.53596258019999998</v>
      </c>
      <c r="I64" s="108">
        <f t="shared" si="64"/>
        <v>0.54668183180399998</v>
      </c>
      <c r="J64" s="108">
        <f t="shared" si="64"/>
        <v>0.55761546844008003</v>
      </c>
      <c r="K64" s="108">
        <f t="shared" si="64"/>
        <v>0.56876777780888166</v>
      </c>
      <c r="L64" s="108">
        <f t="shared" si="64"/>
        <v>0.58014313336505929</v>
      </c>
      <c r="M64" s="108">
        <f t="shared" si="64"/>
        <v>0.59174599603236044</v>
      </c>
      <c r="N64" s="108">
        <f t="shared" si="64"/>
        <v>0.60358091595300767</v>
      </c>
      <c r="O64" s="108">
        <f t="shared" si="64"/>
        <v>0.61565253427206779</v>
      </c>
      <c r="P64" s="108">
        <f t="shared" si="64"/>
        <v>0.6279655849575092</v>
      </c>
      <c r="Q64" s="108">
        <f t="shared" si="64"/>
        <v>0.64052489665665935</v>
      </c>
      <c r="R64" s="108">
        <f t="shared" si="64"/>
        <v>0.65333539458979251</v>
      </c>
      <c r="S64" s="165"/>
    </row>
    <row r="65" spans="2:19" ht="15" customHeight="1" x14ac:dyDescent="0.25">
      <c r="B65" t="s">
        <v>66</v>
      </c>
      <c r="C65" s="107">
        <f>+C9/C7</f>
        <v>1.19562308598351</v>
      </c>
      <c r="D65" s="109">
        <f>+C65*(1+D66)</f>
        <v>1.3272611877502944</v>
      </c>
      <c r="E65" s="109">
        <f>+D65*(1+E66)</f>
        <v>1.4733926445216019</v>
      </c>
      <c r="F65" s="109">
        <f t="shared" ref="F65:R65" si="65">+E65*(1+F66)</f>
        <v>1.6356131746834304</v>
      </c>
      <c r="G65" s="109">
        <f t="shared" si="65"/>
        <v>1.7010377016707676</v>
      </c>
      <c r="H65" s="109">
        <f t="shared" si="65"/>
        <v>1.7690792097375985</v>
      </c>
      <c r="I65" s="109">
        <f t="shared" si="65"/>
        <v>1.8398423781271025</v>
      </c>
      <c r="J65" s="109">
        <f t="shared" si="65"/>
        <v>1.904236861361551</v>
      </c>
      <c r="K65" s="109">
        <f t="shared" si="65"/>
        <v>1.9708851515092052</v>
      </c>
      <c r="L65" s="109">
        <f t="shared" si="65"/>
        <v>2.039866131812027</v>
      </c>
      <c r="M65" s="109">
        <f t="shared" si="65"/>
        <v>2.111261446425448</v>
      </c>
      <c r="N65" s="109">
        <f t="shared" si="65"/>
        <v>2.1851555970503385</v>
      </c>
      <c r="O65" s="109">
        <f t="shared" si="65"/>
        <v>2.2616360429471003</v>
      </c>
      <c r="P65" s="109">
        <f t="shared" si="65"/>
        <v>2.3407933044502487</v>
      </c>
      <c r="Q65" s="109">
        <f t="shared" si="65"/>
        <v>2.4227210701060073</v>
      </c>
      <c r="R65" s="109">
        <f t="shared" si="65"/>
        <v>2.5075163075597175</v>
      </c>
      <c r="S65" s="141">
        <f>AVERAGE(D65:R65)</f>
        <v>1.966019880647496</v>
      </c>
    </row>
    <row r="66" spans="2:19" x14ac:dyDescent="0.25">
      <c r="B66" t="s">
        <v>44</v>
      </c>
      <c r="C66" s="12"/>
      <c r="D66" s="110">
        <v>0.1101</v>
      </c>
      <c r="E66" s="110">
        <v>0.1101</v>
      </c>
      <c r="F66" s="110">
        <v>0.1101</v>
      </c>
      <c r="G66" s="110">
        <v>0.04</v>
      </c>
      <c r="H66" s="110">
        <v>0.04</v>
      </c>
      <c r="I66" s="110">
        <v>0.04</v>
      </c>
      <c r="J66" s="110">
        <v>3.5000000000000003E-2</v>
      </c>
      <c r="K66" s="110">
        <v>3.5000000000000003E-2</v>
      </c>
      <c r="L66" s="110">
        <v>3.5000000000000003E-2</v>
      </c>
      <c r="M66" s="110">
        <v>3.5000000000000003E-2</v>
      </c>
      <c r="N66" s="110">
        <v>3.5000000000000003E-2</v>
      </c>
      <c r="O66" s="110">
        <v>3.5000000000000003E-2</v>
      </c>
      <c r="P66" s="110">
        <v>3.5000000000000003E-2</v>
      </c>
      <c r="Q66" s="110">
        <v>3.5000000000000003E-2</v>
      </c>
      <c r="R66" s="110">
        <v>3.5000000000000003E-2</v>
      </c>
    </row>
    <row r="69" spans="2:19" x14ac:dyDescent="0.25">
      <c r="B69" s="120" t="s">
        <v>85</v>
      </c>
      <c r="C69" s="121" t="s">
        <v>68</v>
      </c>
      <c r="S69" s="142" t="s">
        <v>56</v>
      </c>
    </row>
    <row r="70" spans="2:19" x14ac:dyDescent="0.25">
      <c r="B70" s="22" t="s">
        <v>115</v>
      </c>
      <c r="C70" s="119">
        <f>+C71+C72</f>
        <v>664200</v>
      </c>
      <c r="D70" s="46">
        <f t="shared" ref="D70:K70" si="66">+$C$70/8</f>
        <v>83025</v>
      </c>
      <c r="E70" s="46">
        <f t="shared" si="66"/>
        <v>83025</v>
      </c>
      <c r="F70" s="46">
        <f t="shared" si="66"/>
        <v>83025</v>
      </c>
      <c r="G70" s="46">
        <f t="shared" si="66"/>
        <v>83025</v>
      </c>
      <c r="H70" s="46">
        <f t="shared" si="66"/>
        <v>83025</v>
      </c>
      <c r="I70" s="46">
        <f t="shared" si="66"/>
        <v>83025</v>
      </c>
      <c r="J70" s="46">
        <f t="shared" si="66"/>
        <v>83025</v>
      </c>
      <c r="K70" s="46">
        <f t="shared" si="66"/>
        <v>83025</v>
      </c>
      <c r="L70" s="46">
        <v>0</v>
      </c>
      <c r="M70" s="145">
        <v>0</v>
      </c>
      <c r="N70" s="145">
        <v>0</v>
      </c>
      <c r="O70" s="145">
        <v>0</v>
      </c>
      <c r="P70" s="145">
        <v>0</v>
      </c>
      <c r="Q70" s="145">
        <v>0</v>
      </c>
      <c r="R70" s="145">
        <v>0</v>
      </c>
      <c r="S70" s="143">
        <f>+SUM(D70:R70)</f>
        <v>664200</v>
      </c>
    </row>
    <row r="71" spans="2:19" x14ac:dyDescent="0.25">
      <c r="B71" t="s">
        <v>114</v>
      </c>
      <c r="C71" s="18">
        <v>660000</v>
      </c>
    </row>
    <row r="72" spans="2:19" ht="15" customHeight="1" x14ac:dyDescent="0.25">
      <c r="B72" t="s">
        <v>64</v>
      </c>
      <c r="C72" s="18">
        <v>4200</v>
      </c>
    </row>
    <row r="75" spans="2:19" ht="5.25" customHeight="1" x14ac:dyDescent="0.25"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</row>
    <row r="77" spans="2:19" x14ac:dyDescent="0.25">
      <c r="B77" s="51" t="s">
        <v>140</v>
      </c>
      <c r="C77" s="52"/>
      <c r="D77" s="14">
        <f t="shared" ref="D77:R77" si="67">+D13</f>
        <v>381167.44741998008</v>
      </c>
      <c r="E77" s="14">
        <f t="shared" si="67"/>
        <v>425259.79121625907</v>
      </c>
      <c r="F77" s="14">
        <f t="shared" si="67"/>
        <v>474675.11585300625</v>
      </c>
      <c r="G77" s="14">
        <f t="shared" si="67"/>
        <v>497818.41355697904</v>
      </c>
      <c r="H77" s="14">
        <f t="shared" si="67"/>
        <v>522120.3301838818</v>
      </c>
      <c r="I77" s="14">
        <f t="shared" si="67"/>
        <v>547639.1820946167</v>
      </c>
      <c r="J77" s="14">
        <f t="shared" si="67"/>
        <v>571771.14275199943</v>
      </c>
      <c r="K77" s="14">
        <f t="shared" si="67"/>
        <v>596990.45306268823</v>
      </c>
      <c r="L77" s="14">
        <f t="shared" si="67"/>
        <v>623346.35398583545</v>
      </c>
      <c r="M77" s="14">
        <f t="shared" si="67"/>
        <v>650890.31885461521</v>
      </c>
      <c r="N77" s="14">
        <f t="shared" si="67"/>
        <v>679676.15460734931</v>
      </c>
      <c r="O77" s="14">
        <f t="shared" si="67"/>
        <v>709760.10760939668</v>
      </c>
      <c r="P77" s="14">
        <f t="shared" si="67"/>
        <v>741200.97427399294</v>
      </c>
      <c r="Q77" s="14">
        <f t="shared" si="67"/>
        <v>774060.21669967356</v>
      </c>
      <c r="R77" s="14">
        <f t="shared" si="67"/>
        <v>808402.08355178265</v>
      </c>
    </row>
    <row r="78" spans="2:19" x14ac:dyDescent="0.25">
      <c r="B78" s="16"/>
    </row>
    <row r="79" spans="2:19" x14ac:dyDescent="0.25">
      <c r="B79" s="51" t="s">
        <v>28</v>
      </c>
      <c r="C79" s="52"/>
      <c r="D79" s="14">
        <f t="shared" ref="D79:R79" si="68">+D28+D29</f>
        <v>411996.34189949947</v>
      </c>
      <c r="E79" s="14">
        <f t="shared" si="68"/>
        <v>411075.77184854879</v>
      </c>
      <c r="F79" s="14">
        <f t="shared" si="68"/>
        <v>420528.99931353505</v>
      </c>
      <c r="G79" s="14">
        <f t="shared" si="68"/>
        <v>429576.41400829959</v>
      </c>
      <c r="H79" s="14">
        <f t="shared" si="68"/>
        <v>438914.58344047447</v>
      </c>
      <c r="I79" s="14">
        <f t="shared" si="68"/>
        <v>448556.33393428812</v>
      </c>
      <c r="J79" s="14">
        <f t="shared" si="68"/>
        <v>458448.53769890533</v>
      </c>
      <c r="K79" s="14">
        <f t="shared" si="68"/>
        <v>468665.65240027732</v>
      </c>
      <c r="L79" s="14">
        <f t="shared" si="68"/>
        <v>479222.18081331573</v>
      </c>
      <c r="M79" s="14">
        <f t="shared" si="68"/>
        <v>490133.39011111954</v>
      </c>
      <c r="N79" s="14">
        <f t="shared" si="68"/>
        <v>501415.35514896142</v>
      </c>
      <c r="O79" s="14">
        <f t="shared" si="68"/>
        <v>513085.00427048781</v>
      </c>
      <c r="P79" s="14">
        <f t="shared" si="68"/>
        <v>525160.1677848649</v>
      </c>
      <c r="Q79" s="14">
        <f t="shared" si="68"/>
        <v>537659.62927241961</v>
      </c>
      <c r="R79" s="14">
        <f t="shared" si="68"/>
        <v>550603.179885666</v>
      </c>
    </row>
    <row r="80" spans="2:19" x14ac:dyDescent="0.25">
      <c r="B80" s="16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</row>
    <row r="81" spans="2:21" x14ac:dyDescent="0.25">
      <c r="B81" s="53" t="s">
        <v>47</v>
      </c>
      <c r="C81" s="54"/>
      <c r="D81" s="55"/>
      <c r="E81" s="55">
        <f t="shared" ref="E81:R81" si="69">+E33</f>
        <v>11503.571428571428</v>
      </c>
      <c r="F81" s="55">
        <f t="shared" si="69"/>
        <v>17890.109890109889</v>
      </c>
      <c r="G81" s="55">
        <f t="shared" si="69"/>
        <v>24808.859890109889</v>
      </c>
      <c r="H81" s="55">
        <f t="shared" si="69"/>
        <v>32356.587162837161</v>
      </c>
      <c r="I81" s="55">
        <f t="shared" si="69"/>
        <v>40659.087162837161</v>
      </c>
      <c r="J81" s="55">
        <f t="shared" si="69"/>
        <v>49884.087162837161</v>
      </c>
      <c r="K81" s="55">
        <f t="shared" si="69"/>
        <v>60262.212162837161</v>
      </c>
      <c r="L81" s="55">
        <f t="shared" si="69"/>
        <v>60262.212162837161</v>
      </c>
      <c r="M81" s="146">
        <f t="shared" si="69"/>
        <v>60262.212162837161</v>
      </c>
      <c r="N81" s="146">
        <f t="shared" si="69"/>
        <v>60262.212162837161</v>
      </c>
      <c r="O81" s="146">
        <f t="shared" si="69"/>
        <v>60262.212162837161</v>
      </c>
      <c r="P81" s="146">
        <f t="shared" si="69"/>
        <v>60262.212162837161</v>
      </c>
      <c r="Q81" s="146">
        <f t="shared" si="69"/>
        <v>60262.212162837161</v>
      </c>
      <c r="R81" s="146">
        <f t="shared" si="69"/>
        <v>60262.212162837161</v>
      </c>
      <c r="T81" s="22" t="s">
        <v>49</v>
      </c>
      <c r="U81" s="23">
        <f>SUM(D81:R81)</f>
        <v>659200</v>
      </c>
    </row>
    <row r="82" spans="2:21" x14ac:dyDescent="0.25">
      <c r="B82" s="56" t="s">
        <v>29</v>
      </c>
      <c r="C82" s="57"/>
      <c r="D82" s="58">
        <f t="shared" ref="D82:R82" si="70">+D34</f>
        <v>2340.75</v>
      </c>
      <c r="E82" s="58">
        <f t="shared" si="70"/>
        <v>4486.3928571428569</v>
      </c>
      <c r="F82" s="58">
        <f t="shared" si="70"/>
        <v>6440.4395604395604</v>
      </c>
      <c r="G82" s="58">
        <f t="shared" si="70"/>
        <v>8186.9237637362639</v>
      </c>
      <c r="H82" s="58">
        <f t="shared" si="70"/>
        <v>9706.9761488511485</v>
      </c>
      <c r="I82" s="58">
        <f t="shared" si="70"/>
        <v>10977.953533966034</v>
      </c>
      <c r="J82" s="58">
        <f t="shared" si="70"/>
        <v>11972.18091908092</v>
      </c>
      <c r="K82" s="58">
        <f t="shared" si="70"/>
        <v>12655.064554195806</v>
      </c>
      <c r="L82" s="58">
        <f t="shared" si="70"/>
        <v>10847.198189310689</v>
      </c>
      <c r="M82" s="147">
        <f t="shared" si="70"/>
        <v>9039.3318244255752</v>
      </c>
      <c r="N82" s="147">
        <f t="shared" si="70"/>
        <v>7231.46545954046</v>
      </c>
      <c r="O82" s="147">
        <f t="shared" si="70"/>
        <v>5423.5990946553457</v>
      </c>
      <c r="P82" s="147">
        <f t="shared" si="70"/>
        <v>3615.7327297702291</v>
      </c>
      <c r="Q82" s="147">
        <f t="shared" si="70"/>
        <v>1807.8663648851145</v>
      </c>
      <c r="R82" s="147">
        <f t="shared" si="70"/>
        <v>0</v>
      </c>
      <c r="T82" s="22" t="s">
        <v>50</v>
      </c>
      <c r="U82" s="23">
        <f>SUM(D82:R82)</f>
        <v>104731.87500000001</v>
      </c>
    </row>
    <row r="83" spans="2:21" x14ac:dyDescent="0.25">
      <c r="B83" s="59" t="s">
        <v>46</v>
      </c>
      <c r="C83" s="60"/>
      <c r="D83" s="14">
        <f>D79+D81+D82</f>
        <v>414337.09189949947</v>
      </c>
      <c r="E83" s="14">
        <f t="shared" ref="E83:M83" si="71">E79+E81+E82</f>
        <v>427065.73613426305</v>
      </c>
      <c r="F83" s="14">
        <f t="shared" si="71"/>
        <v>444859.54876408447</v>
      </c>
      <c r="G83" s="14">
        <f t="shared" si="71"/>
        <v>462572.19766214571</v>
      </c>
      <c r="H83" s="14">
        <f t="shared" si="71"/>
        <v>480978.14675216278</v>
      </c>
      <c r="I83" s="14">
        <f t="shared" si="71"/>
        <v>500193.37463109131</v>
      </c>
      <c r="J83" s="14">
        <f t="shared" si="71"/>
        <v>520304.8057808234</v>
      </c>
      <c r="K83" s="14">
        <f t="shared" si="71"/>
        <v>541582.92911731033</v>
      </c>
      <c r="L83" s="14">
        <f t="shared" si="71"/>
        <v>550331.59116546367</v>
      </c>
      <c r="M83" s="14">
        <f t="shared" si="71"/>
        <v>559434.93409838236</v>
      </c>
      <c r="N83" s="14">
        <f t="shared" ref="N83:R83" si="72">N79+N81+N82</f>
        <v>568909.03277133906</v>
      </c>
      <c r="O83" s="14">
        <f t="shared" si="72"/>
        <v>578770.81552798033</v>
      </c>
      <c r="P83" s="14">
        <f t="shared" si="72"/>
        <v>589038.11267747229</v>
      </c>
      <c r="Q83" s="14">
        <f t="shared" si="72"/>
        <v>599729.70780014188</v>
      </c>
      <c r="R83" s="14">
        <f t="shared" si="72"/>
        <v>610865.39204850316</v>
      </c>
      <c r="T83" s="28" t="s">
        <v>51</v>
      </c>
      <c r="U83" s="29">
        <f>SUM(U81:U82)</f>
        <v>763931.875</v>
      </c>
    </row>
    <row r="84" spans="2:21" ht="15.75" thickBot="1" x14ac:dyDescent="0.3">
      <c r="B84" s="16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2"/>
      <c r="Q84" s="17"/>
      <c r="R84" s="17"/>
    </row>
    <row r="85" spans="2:21" ht="15.75" thickBot="1" x14ac:dyDescent="0.3">
      <c r="B85" s="61" t="s">
        <v>30</v>
      </c>
      <c r="C85" s="62"/>
      <c r="D85" s="63">
        <f>+D77-D83</f>
        <v>-33169.644479519397</v>
      </c>
      <c r="E85" s="63">
        <f t="shared" ref="E85:M85" si="73">+E77-E83</f>
        <v>-1805.944918003981</v>
      </c>
      <c r="F85" s="63">
        <f t="shared" si="73"/>
        <v>29815.567088921787</v>
      </c>
      <c r="G85" s="63">
        <f t="shared" si="73"/>
        <v>35246.215894833324</v>
      </c>
      <c r="H85" s="63">
        <f t="shared" si="73"/>
        <v>41142.183431719022</v>
      </c>
      <c r="I85" s="63">
        <f t="shared" si="73"/>
        <v>47445.807463525387</v>
      </c>
      <c r="J85" s="63">
        <f t="shared" si="73"/>
        <v>51466.336971176032</v>
      </c>
      <c r="K85" s="63">
        <f t="shared" si="73"/>
        <v>55407.523945377907</v>
      </c>
      <c r="L85" s="63">
        <f t="shared" si="73"/>
        <v>73014.762820371776</v>
      </c>
      <c r="M85" s="63">
        <f t="shared" si="73"/>
        <v>91455.384756232845</v>
      </c>
      <c r="N85" s="63">
        <f t="shared" ref="N85:R85" si="74">+N77-N83</f>
        <v>110767.12183601025</v>
      </c>
      <c r="O85" s="63">
        <f t="shared" si="74"/>
        <v>130989.29208141635</v>
      </c>
      <c r="P85" s="63">
        <f t="shared" si="74"/>
        <v>152162.86159652064</v>
      </c>
      <c r="Q85" s="63">
        <f t="shared" si="74"/>
        <v>174330.50889953168</v>
      </c>
      <c r="R85" s="63">
        <f t="shared" si="74"/>
        <v>197536.69150327949</v>
      </c>
      <c r="T85" s="22" t="s">
        <v>52</v>
      </c>
      <c r="U85" s="23">
        <f>SUM(D85:R85)</f>
        <v>1155804.6688913931</v>
      </c>
    </row>
    <row r="86" spans="2:21" x14ac:dyDescent="0.25">
      <c r="B86" s="64" t="s">
        <v>45</v>
      </c>
      <c r="C86" s="65"/>
      <c r="D86" s="47">
        <f t="shared" ref="D86:R86" si="75">+D35</f>
        <v>48296.05868568</v>
      </c>
      <c r="E86" s="47">
        <f t="shared" si="75"/>
        <v>48053.313248177074</v>
      </c>
      <c r="F86" s="47">
        <f t="shared" si="75"/>
        <v>49039.454570065187</v>
      </c>
      <c r="G86" s="47">
        <f t="shared" si="75"/>
        <v>50055.714440325013</v>
      </c>
      <c r="H86" s="47">
        <f t="shared" si="75"/>
        <v>51103.389022305288</v>
      </c>
      <c r="I86" s="47">
        <f t="shared" si="75"/>
        <v>52183.842525830718</v>
      </c>
      <c r="J86" s="47">
        <f t="shared" si="75"/>
        <v>53298.511095612637</v>
      </c>
      <c r="K86" s="47">
        <f t="shared" si="75"/>
        <v>54448.906928845208</v>
      </c>
      <c r="L86" s="47">
        <f t="shared" si="75"/>
        <v>55636.622635640379</v>
      </c>
      <c r="M86" s="47">
        <f t="shared" si="75"/>
        <v>56863.3358567705</v>
      </c>
      <c r="N86" s="47">
        <f t="shared" si="75"/>
        <v>58130.814154053318</v>
      </c>
      <c r="O86" s="47">
        <f t="shared" si="75"/>
        <v>59440.920189630342</v>
      </c>
      <c r="P86" s="47">
        <f t="shared" si="75"/>
        <v>60795.617211361801</v>
      </c>
      <c r="Q86" s="47">
        <f t="shared" si="75"/>
        <v>62196.974862591334</v>
      </c>
      <c r="R86" s="47">
        <f t="shared" si="75"/>
        <v>63647.175335624575</v>
      </c>
      <c r="T86" s="89" t="s">
        <v>53</v>
      </c>
      <c r="U86" s="90">
        <f>SUM(D86:R86)</f>
        <v>823190.6507625134</v>
      </c>
    </row>
    <row r="87" spans="2:21" x14ac:dyDescent="0.25">
      <c r="B87" s="66" t="s">
        <v>31</v>
      </c>
      <c r="C87" s="67"/>
      <c r="D87" s="19">
        <f>D85+D81</f>
        <v>-33169.644479519397</v>
      </c>
      <c r="E87" s="19">
        <f t="shared" ref="E87:M87" si="76">E85+E81</f>
        <v>9697.6265105674465</v>
      </c>
      <c r="F87" s="19">
        <f t="shared" si="76"/>
        <v>47705.676979031676</v>
      </c>
      <c r="G87" s="19">
        <f t="shared" si="76"/>
        <v>60055.075784943212</v>
      </c>
      <c r="H87" s="19">
        <f t="shared" si="76"/>
        <v>73498.770594556176</v>
      </c>
      <c r="I87" s="19">
        <f t="shared" si="76"/>
        <v>88104.89462636254</v>
      </c>
      <c r="J87" s="19">
        <f t="shared" si="76"/>
        <v>101350.42413401318</v>
      </c>
      <c r="K87" s="19">
        <f t="shared" si="76"/>
        <v>115669.73610821506</v>
      </c>
      <c r="L87" s="19">
        <f t="shared" si="76"/>
        <v>133276.97498320893</v>
      </c>
      <c r="M87" s="19">
        <f t="shared" si="76"/>
        <v>151717.59691907</v>
      </c>
      <c r="N87" s="19">
        <f t="shared" ref="N87:R87" si="77">N85+N81</f>
        <v>171029.3339988474</v>
      </c>
      <c r="O87" s="19">
        <f t="shared" si="77"/>
        <v>191251.50424425351</v>
      </c>
      <c r="P87" s="19">
        <f t="shared" si="77"/>
        <v>212425.07375935779</v>
      </c>
      <c r="Q87" s="19">
        <f t="shared" si="77"/>
        <v>234592.72106236883</v>
      </c>
      <c r="R87" s="19">
        <f t="shared" si="77"/>
        <v>257798.90366611665</v>
      </c>
      <c r="T87" s="22" t="s">
        <v>58</v>
      </c>
      <c r="U87" s="23">
        <f>+U85-U86</f>
        <v>332614.01812887972</v>
      </c>
    </row>
    <row r="88" spans="2:21" x14ac:dyDescent="0.25">
      <c r="B88" s="68"/>
      <c r="T88" t="s">
        <v>54</v>
      </c>
    </row>
    <row r="89" spans="2:21" x14ac:dyDescent="0.25">
      <c r="B89" s="66" t="s">
        <v>32</v>
      </c>
      <c r="C89" s="67"/>
      <c r="D89" s="19">
        <f>D87+D82</f>
        <v>-30828.894479519397</v>
      </c>
      <c r="E89" s="19">
        <f t="shared" ref="E89:M89" si="78">E87+E82</f>
        <v>14184.019367710303</v>
      </c>
      <c r="F89" s="19">
        <f t="shared" si="78"/>
        <v>54146.116539471237</v>
      </c>
      <c r="G89" s="19">
        <f t="shared" si="78"/>
        <v>68241.99954867948</v>
      </c>
      <c r="H89" s="19">
        <f t="shared" si="78"/>
        <v>83205.746743407319</v>
      </c>
      <c r="I89" s="19">
        <f t="shared" si="78"/>
        <v>99082.848160328576</v>
      </c>
      <c r="J89" s="19">
        <f t="shared" si="78"/>
        <v>113322.6050530941</v>
      </c>
      <c r="K89" s="19">
        <f t="shared" si="78"/>
        <v>128324.80066241087</v>
      </c>
      <c r="L89" s="19">
        <f t="shared" si="78"/>
        <v>144124.17317251963</v>
      </c>
      <c r="M89" s="19">
        <f t="shared" si="78"/>
        <v>160756.92874349558</v>
      </c>
      <c r="N89" s="19">
        <f t="shared" ref="N89:R89" si="79">N87+N82</f>
        <v>178260.79945838786</v>
      </c>
      <c r="O89" s="19">
        <f t="shared" si="79"/>
        <v>196675.10333890884</v>
      </c>
      <c r="P89" s="19">
        <f t="shared" si="79"/>
        <v>216040.80648912804</v>
      </c>
      <c r="Q89" s="19">
        <f t="shared" si="79"/>
        <v>236400.58742725395</v>
      </c>
      <c r="R89" s="19">
        <f t="shared" si="79"/>
        <v>257798.90366611665</v>
      </c>
      <c r="T89" s="28" t="s">
        <v>55</v>
      </c>
      <c r="U89" s="29">
        <f>SUM(D89:M89)</f>
        <v>834560.34351159772</v>
      </c>
    </row>
    <row r="90" spans="2:21" x14ac:dyDescent="0.25">
      <c r="B90" s="68"/>
    </row>
    <row r="91" spans="2:21" ht="15.75" thickBot="1" x14ac:dyDescent="0.3">
      <c r="B91" s="69" t="s">
        <v>33</v>
      </c>
      <c r="C91" s="70"/>
      <c r="D91" s="71">
        <f t="shared" ref="D91:R91" si="80">D89/POWER($F$121,D4)</f>
        <v>-29218.931361500709</v>
      </c>
      <c r="E91" s="71">
        <f t="shared" si="80"/>
        <v>12741.250947955146</v>
      </c>
      <c r="F91" s="71">
        <f t="shared" si="80"/>
        <v>46098.462897297344</v>
      </c>
      <c r="G91" s="71">
        <f t="shared" si="80"/>
        <v>55065.203861108057</v>
      </c>
      <c r="H91" s="71">
        <f t="shared" si="80"/>
        <v>63633.411537722684</v>
      </c>
      <c r="I91" s="71">
        <f t="shared" si="80"/>
        <v>71818.568388984902</v>
      </c>
      <c r="J91" s="71">
        <f t="shared" si="80"/>
        <v>77850.4609297149</v>
      </c>
      <c r="K91" s="71">
        <f t="shared" si="80"/>
        <v>83552.916505328103</v>
      </c>
      <c r="L91" s="71">
        <f t="shared" si="80"/>
        <v>88939.4053597725</v>
      </c>
      <c r="M91" s="71">
        <f t="shared" si="80"/>
        <v>94022.862721024416</v>
      </c>
      <c r="N91" s="71">
        <f t="shared" si="80"/>
        <v>98815.710241645342</v>
      </c>
      <c r="O91" s="71">
        <f t="shared" si="80"/>
        <v>103329.87656492906</v>
      </c>
      <c r="P91" s="71">
        <f t="shared" si="80"/>
        <v>107576.81705293374</v>
      </c>
      <c r="Q91" s="71">
        <f t="shared" si="80"/>
        <v>111567.53271116628</v>
      </c>
      <c r="R91" s="71">
        <f t="shared" si="80"/>
        <v>115312.5883432222</v>
      </c>
    </row>
    <row r="92" spans="2:21" ht="16.5" thickTop="1" thickBot="1" x14ac:dyDescent="0.3">
      <c r="B92" s="68"/>
    </row>
    <row r="93" spans="2:21" ht="16.5" thickBot="1" x14ac:dyDescent="0.3">
      <c r="B93" s="72" t="s">
        <v>34</v>
      </c>
      <c r="C93" s="73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1">
        <f>SUM(D91:M91)</f>
        <v>564503.61178740731</v>
      </c>
    </row>
    <row r="94" spans="2:21" x14ac:dyDescent="0.25">
      <c r="B94" s="68"/>
    </row>
    <row r="95" spans="2:21" x14ac:dyDescent="0.25">
      <c r="B95" s="74" t="s">
        <v>36</v>
      </c>
      <c r="C95" s="75"/>
      <c r="D95" s="76">
        <f t="shared" ref="D95:R95" si="81">+D53</f>
        <v>83025</v>
      </c>
      <c r="E95" s="76">
        <f t="shared" si="81"/>
        <v>83025</v>
      </c>
      <c r="F95" s="76">
        <f t="shared" si="81"/>
        <v>83025</v>
      </c>
      <c r="G95" s="76">
        <f t="shared" si="81"/>
        <v>83025</v>
      </c>
      <c r="H95" s="76">
        <f t="shared" si="81"/>
        <v>83025</v>
      </c>
      <c r="I95" s="76">
        <f t="shared" si="81"/>
        <v>83025</v>
      </c>
      <c r="J95" s="76">
        <f t="shared" si="81"/>
        <v>83025</v>
      </c>
      <c r="K95" s="76">
        <f t="shared" si="81"/>
        <v>83025</v>
      </c>
      <c r="L95" s="76">
        <f t="shared" si="81"/>
        <v>0</v>
      </c>
      <c r="M95" s="148">
        <f t="shared" si="81"/>
        <v>0</v>
      </c>
      <c r="N95" s="148">
        <f t="shared" si="81"/>
        <v>0</v>
      </c>
      <c r="O95" s="148">
        <f t="shared" si="81"/>
        <v>0</v>
      </c>
      <c r="P95" s="148">
        <f t="shared" si="81"/>
        <v>0</v>
      </c>
      <c r="Q95" s="148">
        <f t="shared" si="81"/>
        <v>0</v>
      </c>
      <c r="R95" s="148">
        <f t="shared" si="81"/>
        <v>0</v>
      </c>
      <c r="U95" s="2">
        <f>SUM(D95:M95)</f>
        <v>664200</v>
      </c>
    </row>
    <row r="96" spans="2:21" ht="15.75" thickBot="1" x14ac:dyDescent="0.3"/>
    <row r="97" spans="2:21" ht="15.75" thickBot="1" x14ac:dyDescent="0.3">
      <c r="B97" s="72" t="s">
        <v>37</v>
      </c>
      <c r="C97" s="73"/>
      <c r="D97" s="24">
        <f t="shared" ref="D97:R97" si="82">D95/POWER($F$121,D4)</f>
        <v>78689.223770258744</v>
      </c>
      <c r="E97" s="24">
        <f t="shared" si="82"/>
        <v>74579.872780076534</v>
      </c>
      <c r="F97" s="24">
        <f t="shared" si="82"/>
        <v>70685.12252874281</v>
      </c>
      <c r="G97" s="24">
        <f t="shared" si="82"/>
        <v>66993.766020986455</v>
      </c>
      <c r="H97" s="24">
        <f t="shared" si="82"/>
        <v>63495.181519274447</v>
      </c>
      <c r="I97" s="24">
        <f t="shared" si="82"/>
        <v>60179.301980167234</v>
      </c>
      <c r="J97" s="24">
        <f t="shared" si="82"/>
        <v>57036.586086785363</v>
      </c>
      <c r="K97" s="24">
        <f t="shared" si="82"/>
        <v>54057.990794034093</v>
      </c>
      <c r="L97" s="24">
        <f t="shared" si="82"/>
        <v>0</v>
      </c>
      <c r="M97" s="24">
        <f t="shared" si="82"/>
        <v>0</v>
      </c>
      <c r="N97" s="24">
        <f t="shared" si="82"/>
        <v>0</v>
      </c>
      <c r="O97" s="24">
        <f t="shared" si="82"/>
        <v>0</v>
      </c>
      <c r="P97" s="24">
        <f t="shared" si="82"/>
        <v>0</v>
      </c>
      <c r="Q97" s="24">
        <f t="shared" si="82"/>
        <v>0</v>
      </c>
      <c r="R97" s="24">
        <f t="shared" si="82"/>
        <v>0</v>
      </c>
      <c r="S97" s="24"/>
      <c r="T97" s="91" t="s">
        <v>38</v>
      </c>
      <c r="U97" s="25">
        <f>SUM(D97:M97)</f>
        <v>525717.04548032559</v>
      </c>
    </row>
    <row r="98" spans="2:21" x14ac:dyDescent="0.25">
      <c r="B98" s="68"/>
      <c r="D98" s="77"/>
      <c r="E98" s="77"/>
      <c r="F98" s="77"/>
      <c r="G98" s="77"/>
      <c r="H98" s="77"/>
      <c r="I98" s="77"/>
      <c r="J98" s="77"/>
      <c r="K98" s="77"/>
      <c r="L98" s="77"/>
      <c r="Q98" s="78"/>
      <c r="R98" s="78"/>
      <c r="T98" s="78" t="s">
        <v>43</v>
      </c>
      <c r="U98" s="2">
        <f>+U93-U97</f>
        <v>38786.566307081725</v>
      </c>
    </row>
    <row r="99" spans="2:21" x14ac:dyDescent="0.25">
      <c r="B99" s="68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149"/>
    </row>
    <row r="101" spans="2:21" x14ac:dyDescent="0.25">
      <c r="B101" s="79" t="s">
        <v>75</v>
      </c>
      <c r="C101" s="80"/>
      <c r="D101" s="81">
        <f>+D95-D89</f>
        <v>113853.8944795194</v>
      </c>
      <c r="E101" s="81">
        <f t="shared" ref="E101:L101" si="83">+E95-E89</f>
        <v>68840.980632289691</v>
      </c>
      <c r="F101" s="81">
        <f t="shared" si="83"/>
        <v>28878.883460528763</v>
      </c>
      <c r="G101" s="81">
        <f t="shared" si="83"/>
        <v>14783.00045132052</v>
      </c>
      <c r="H101" s="81">
        <f t="shared" si="83"/>
        <v>-180.74674340731872</v>
      </c>
      <c r="I101" s="81">
        <f t="shared" si="83"/>
        <v>-16057.848160328576</v>
      </c>
      <c r="J101" s="81">
        <f t="shared" si="83"/>
        <v>-30297.605053094099</v>
      </c>
      <c r="K101" s="81">
        <f t="shared" si="83"/>
        <v>-45299.800662410868</v>
      </c>
      <c r="L101" s="81">
        <f t="shared" si="83"/>
        <v>-144124.17317251963</v>
      </c>
      <c r="M101" s="81">
        <f>+M95-M89</f>
        <v>-160756.92874349558</v>
      </c>
      <c r="N101" s="81">
        <f t="shared" ref="N101:R101" si="84">+N95-N89</f>
        <v>-178260.79945838786</v>
      </c>
      <c r="O101" s="81">
        <f t="shared" si="84"/>
        <v>-196675.10333890884</v>
      </c>
      <c r="P101" s="81">
        <f t="shared" si="84"/>
        <v>-216040.80648912804</v>
      </c>
      <c r="Q101" s="81">
        <f t="shared" si="84"/>
        <v>-236400.58742725395</v>
      </c>
      <c r="R101" s="81">
        <f t="shared" si="84"/>
        <v>-257798.90366611665</v>
      </c>
    </row>
    <row r="104" spans="2:21" x14ac:dyDescent="0.25">
      <c r="B104" t="s">
        <v>81</v>
      </c>
      <c r="D104" s="128">
        <f t="shared" ref="D104:R104" si="85">+D13-D36+D34+D33+D35</f>
        <v>-52506.894479519375</v>
      </c>
      <c r="E104" s="128">
        <f t="shared" si="85"/>
        <v>-7977.1751537202144</v>
      </c>
      <c r="F104" s="128">
        <f t="shared" si="85"/>
        <v>31984.922018040699</v>
      </c>
      <c r="G104" s="128">
        <f t="shared" si="85"/>
        <v>46080.80502724892</v>
      </c>
      <c r="H104" s="128">
        <f t="shared" si="85"/>
        <v>61044.552221976774</v>
      </c>
      <c r="I104" s="128">
        <f t="shared" si="85"/>
        <v>76921.653638898104</v>
      </c>
      <c r="J104" s="128">
        <f t="shared" si="85"/>
        <v>91161.41053166351</v>
      </c>
      <c r="K104" s="128">
        <f t="shared" si="85"/>
        <v>106163.60614098034</v>
      </c>
      <c r="L104" s="128">
        <f t="shared" si="85"/>
        <v>121962.97865108916</v>
      </c>
      <c r="M104" s="128">
        <f t="shared" si="85"/>
        <v>138595.73422206502</v>
      </c>
      <c r="N104" s="128">
        <f t="shared" si="85"/>
        <v>156099.6049369573</v>
      </c>
      <c r="O104" s="128">
        <f t="shared" si="85"/>
        <v>174513.90881747831</v>
      </c>
      <c r="P104" s="128">
        <f t="shared" si="85"/>
        <v>193879.61196769754</v>
      </c>
      <c r="Q104" s="128">
        <f t="shared" si="85"/>
        <v>214239.39290582339</v>
      </c>
      <c r="R104" s="128">
        <f t="shared" si="85"/>
        <v>235637.70914468609</v>
      </c>
    </row>
    <row r="105" spans="2:21" x14ac:dyDescent="0.25">
      <c r="B105" t="s">
        <v>87</v>
      </c>
      <c r="D105" s="128">
        <f>+D104-D95</f>
        <v>-135531.89447951937</v>
      </c>
      <c r="E105" s="128">
        <f>+E104-E95</f>
        <v>-91002.175153720222</v>
      </c>
      <c r="F105" s="128">
        <f t="shared" ref="F105:M105" si="86">+F104-F95</f>
        <v>-51040.077981959301</v>
      </c>
      <c r="G105" s="128">
        <f t="shared" si="86"/>
        <v>-36944.19497275108</v>
      </c>
      <c r="H105" s="128">
        <f t="shared" si="86"/>
        <v>-21980.447778023226</v>
      </c>
      <c r="I105" s="128">
        <f t="shared" si="86"/>
        <v>-6103.346361101896</v>
      </c>
      <c r="J105" s="128">
        <f t="shared" si="86"/>
        <v>8136.4105316635105</v>
      </c>
      <c r="K105" s="128">
        <f t="shared" si="86"/>
        <v>23138.606140980337</v>
      </c>
      <c r="L105" s="128">
        <f t="shared" si="86"/>
        <v>121962.97865108916</v>
      </c>
      <c r="M105" s="128">
        <f t="shared" si="86"/>
        <v>138595.73422206502</v>
      </c>
      <c r="N105" s="128">
        <f t="shared" ref="N105:R105" si="87">+N104-N95</f>
        <v>156099.6049369573</v>
      </c>
      <c r="O105" s="128">
        <f t="shared" si="87"/>
        <v>174513.90881747831</v>
      </c>
      <c r="P105" s="128">
        <f t="shared" si="87"/>
        <v>193879.61196769754</v>
      </c>
      <c r="Q105" s="128">
        <f t="shared" si="87"/>
        <v>214239.39290582339</v>
      </c>
      <c r="R105" s="128">
        <f t="shared" si="87"/>
        <v>235637.70914468609</v>
      </c>
    </row>
    <row r="106" spans="2:21" x14ac:dyDescent="0.25">
      <c r="B106" t="s">
        <v>88</v>
      </c>
      <c r="D106" s="128">
        <f t="shared" ref="D106:R106" si="88">+D105/($F$121^D4)</f>
        <v>-128454.07494978615</v>
      </c>
      <c r="E106" s="128">
        <f t="shared" si="88"/>
        <v>-81745.626566392006</v>
      </c>
      <c r="F106" s="128">
        <f t="shared" si="88"/>
        <v>-43454.070051567374</v>
      </c>
      <c r="G106" s="128">
        <f t="shared" si="88"/>
        <v>-29810.668519580729</v>
      </c>
      <c r="H106" s="128">
        <f t="shared" si="88"/>
        <v>-16810.027359717162</v>
      </c>
      <c r="I106" s="128">
        <f t="shared" si="88"/>
        <v>-4423.909951873602</v>
      </c>
      <c r="J106" s="128">
        <f t="shared" si="88"/>
        <v>5589.5583225131331</v>
      </c>
      <c r="K106" s="128">
        <f t="shared" si="88"/>
        <v>15065.661641142977</v>
      </c>
      <c r="L106" s="128">
        <f t="shared" si="88"/>
        <v>75263.674082973128</v>
      </c>
      <c r="M106" s="128">
        <f t="shared" si="88"/>
        <v>81061.312842530053</v>
      </c>
      <c r="N106" s="128">
        <f t="shared" si="88"/>
        <v>86531.045396138405</v>
      </c>
      <c r="O106" s="128">
        <f t="shared" si="88"/>
        <v>91686.748097952528</v>
      </c>
      <c r="P106" s="128">
        <f t="shared" si="88"/>
        <v>96541.722306486467</v>
      </c>
      <c r="Q106" s="128">
        <f t="shared" si="88"/>
        <v>101108.7186210826</v>
      </c>
      <c r="R106" s="128">
        <f t="shared" si="88"/>
        <v>105399.9600709412</v>
      </c>
    </row>
    <row r="107" spans="2:21" x14ac:dyDescent="0.25">
      <c r="B107" t="s">
        <v>89</v>
      </c>
      <c r="D107" s="128">
        <f>+D106</f>
        <v>-128454.07494978615</v>
      </c>
      <c r="E107" s="128">
        <f>+E106+D107</f>
        <v>-210199.70151617815</v>
      </c>
      <c r="F107" s="128">
        <f t="shared" ref="F107:L107" si="89">+F106+E107</f>
        <v>-253653.77156774551</v>
      </c>
      <c r="G107" s="128">
        <f t="shared" si="89"/>
        <v>-283464.44008732622</v>
      </c>
      <c r="H107" s="128">
        <f t="shared" si="89"/>
        <v>-300274.4674470434</v>
      </c>
      <c r="I107" s="128">
        <f t="shared" si="89"/>
        <v>-304698.37739891699</v>
      </c>
      <c r="J107" s="128">
        <f t="shared" si="89"/>
        <v>-299108.81907640386</v>
      </c>
      <c r="K107" s="128">
        <f t="shared" si="89"/>
        <v>-284043.15743526089</v>
      </c>
      <c r="L107" s="128">
        <f t="shared" si="89"/>
        <v>-208779.48335228776</v>
      </c>
      <c r="M107" s="128">
        <f>+M106+L107</f>
        <v>-127718.17050975771</v>
      </c>
      <c r="N107" s="128">
        <f t="shared" ref="N107:R107" si="90">+N106+M107</f>
        <v>-41187.125113619302</v>
      </c>
      <c r="O107" s="128">
        <f t="shared" si="90"/>
        <v>50499.622984333226</v>
      </c>
      <c r="P107" s="128">
        <f t="shared" si="90"/>
        <v>147041.34529081971</v>
      </c>
      <c r="Q107" s="128">
        <f t="shared" si="90"/>
        <v>248150.06391190231</v>
      </c>
      <c r="R107" s="128">
        <f t="shared" si="90"/>
        <v>353550.0239828435</v>
      </c>
    </row>
    <row r="108" spans="2:21" x14ac:dyDescent="0.25">
      <c r="B108" t="s">
        <v>90</v>
      </c>
    </row>
    <row r="109" spans="2:21" ht="15.75" thickBot="1" x14ac:dyDescent="0.3"/>
    <row r="110" spans="2:21" x14ac:dyDescent="0.25">
      <c r="C110" s="82" t="s">
        <v>76</v>
      </c>
      <c r="D110" s="83" t="s">
        <v>39</v>
      </c>
      <c r="E110" s="82" t="s">
        <v>77</v>
      </c>
      <c r="G110" t="s">
        <v>40</v>
      </c>
    </row>
    <row r="111" spans="2:21" ht="15.75" thickBot="1" x14ac:dyDescent="0.3">
      <c r="C111" s="125">
        <f>NPV(F120,D89:R89)-U97</f>
        <v>575389.09122097841</v>
      </c>
      <c r="D111" s="126">
        <f>+IRR(D101:R101)</f>
        <v>0.20975643807560607</v>
      </c>
      <c r="E111" s="127">
        <f>+U93/U97</f>
        <v>1.0737784073020575</v>
      </c>
      <c r="G111" t="s">
        <v>42</v>
      </c>
    </row>
    <row r="113" spans="2:17" x14ac:dyDescent="0.25">
      <c r="B113" s="84" t="s">
        <v>41</v>
      </c>
      <c r="C113" s="84"/>
      <c r="D113" s="84"/>
      <c r="E113" s="84"/>
      <c r="F113" s="84"/>
      <c r="G113" s="84"/>
      <c r="H113" s="84"/>
      <c r="I113" s="84"/>
      <c r="J113" s="84"/>
      <c r="K113" s="84"/>
    </row>
    <row r="114" spans="2:17" x14ac:dyDescent="0.25">
      <c r="B114" s="84" t="s">
        <v>48</v>
      </c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Q114" s="18"/>
    </row>
    <row r="115" spans="2:17" x14ac:dyDescent="0.25">
      <c r="Q115" s="18"/>
    </row>
    <row r="116" spans="2:17" x14ac:dyDescent="0.25">
      <c r="B116" s="15" t="s">
        <v>92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</row>
    <row r="118" spans="2:17" x14ac:dyDescent="0.25">
      <c r="C118" s="15" t="s">
        <v>99</v>
      </c>
      <c r="E118" s="15"/>
      <c r="F118" s="15"/>
      <c r="G118" s="15"/>
      <c r="H118" s="15"/>
    </row>
    <row r="120" spans="2:17" x14ac:dyDescent="0.25">
      <c r="C120" s="85" t="s">
        <v>35</v>
      </c>
      <c r="D120" s="86"/>
      <c r="E120" s="86"/>
      <c r="F120" s="122">
        <v>5.5100000000000003E-2</v>
      </c>
    </row>
    <row r="121" spans="2:17" x14ac:dyDescent="0.25">
      <c r="C121" s="87"/>
      <c r="D121" s="88"/>
      <c r="E121" s="88"/>
      <c r="F121" s="123">
        <f>1+F120</f>
        <v>1.0550999999999999</v>
      </c>
      <c r="P121" s="18"/>
    </row>
    <row r="122" spans="2:17" x14ac:dyDescent="0.25">
      <c r="P122" s="18"/>
    </row>
  </sheetData>
  <mergeCells count="6">
    <mergeCell ref="S62:S64"/>
    <mergeCell ref="U9:U11"/>
    <mergeCell ref="T15:U16"/>
    <mergeCell ref="T17:U18"/>
    <mergeCell ref="T22:U23"/>
    <mergeCell ref="T9:T11"/>
  </mergeCells>
  <phoneticPr fontId="29" type="noConversion"/>
  <pageMargins left="0.7" right="0.7" top="0.75" bottom="0.75" header="0.3" footer="0.3"/>
  <pageSetup paperSize="8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44E64-FDF1-433F-823F-DFC41D9D6C9C}">
  <sheetPr>
    <tabColor rgb="FF0070C0"/>
  </sheetPr>
  <dimension ref="A1:I29"/>
  <sheetViews>
    <sheetView workbookViewId="0">
      <selection activeCell="G11" sqref="G11"/>
    </sheetView>
  </sheetViews>
  <sheetFormatPr baseColWidth="10" defaultColWidth="9.140625" defaultRowHeight="15" x14ac:dyDescent="0.25"/>
  <cols>
    <col min="1" max="1" width="10.5703125" customWidth="1"/>
    <col min="2" max="2" width="22.7109375" bestFit="1" customWidth="1"/>
    <col min="3" max="3" width="11" bestFit="1" customWidth="1"/>
    <col min="4" max="4" width="12.85546875" bestFit="1" customWidth="1"/>
    <col min="5" max="5" width="14.28515625" bestFit="1" customWidth="1"/>
    <col min="6" max="6" width="12.85546875" bestFit="1" customWidth="1"/>
  </cols>
  <sheetData>
    <row r="1" spans="1:9" x14ac:dyDescent="0.25">
      <c r="A1" s="153"/>
      <c r="B1" s="153"/>
      <c r="C1" s="153"/>
      <c r="D1" s="153"/>
      <c r="E1" s="153"/>
      <c r="F1" s="153"/>
      <c r="G1" s="153"/>
      <c r="H1" s="153"/>
      <c r="I1" s="153"/>
    </row>
    <row r="2" spans="1:9" x14ac:dyDescent="0.25">
      <c r="B2" s="156" t="s">
        <v>106</v>
      </c>
      <c r="C2" s="152" t="s">
        <v>100</v>
      </c>
      <c r="D2" s="152" t="s">
        <v>101</v>
      </c>
      <c r="E2" s="152" t="s">
        <v>102</v>
      </c>
      <c r="F2" s="152" t="s">
        <v>103</v>
      </c>
      <c r="G2" s="152" t="s">
        <v>104</v>
      </c>
      <c r="H2" s="153"/>
      <c r="I2" s="153"/>
    </row>
    <row r="3" spans="1:9" x14ac:dyDescent="0.25">
      <c r="B3" s="157" t="s">
        <v>107</v>
      </c>
      <c r="C3" s="154"/>
      <c r="D3" s="154"/>
      <c r="E3" s="154"/>
      <c r="F3" s="154"/>
      <c r="G3" s="154"/>
      <c r="H3" s="153"/>
      <c r="I3" s="153"/>
    </row>
    <row r="4" spans="1:9" x14ac:dyDescent="0.25">
      <c r="B4" s="153" t="s">
        <v>97</v>
      </c>
      <c r="C4" s="162">
        <v>1760515.83</v>
      </c>
      <c r="D4" s="162">
        <v>1760515.83</v>
      </c>
      <c r="E4" s="162">
        <v>1760515.83</v>
      </c>
      <c r="F4" s="162">
        <v>1760515.83</v>
      </c>
      <c r="G4" s="162">
        <v>1760515.83</v>
      </c>
      <c r="H4" s="153"/>
      <c r="I4" s="153"/>
    </row>
    <row r="5" spans="1:9" x14ac:dyDescent="0.25">
      <c r="B5" s="153" t="s">
        <v>96</v>
      </c>
      <c r="C5" s="162">
        <v>365000</v>
      </c>
      <c r="D5" s="162">
        <v>365000</v>
      </c>
      <c r="E5" s="162">
        <v>365000</v>
      </c>
      <c r="F5" s="162">
        <v>365000</v>
      </c>
      <c r="G5" s="162">
        <v>365000</v>
      </c>
      <c r="H5" s="153"/>
      <c r="I5" s="153"/>
    </row>
    <row r="6" spans="1:9" x14ac:dyDescent="0.25">
      <c r="B6" s="153" t="s">
        <v>108</v>
      </c>
      <c r="C6" s="162">
        <v>0</v>
      </c>
      <c r="D6" s="162">
        <v>0</v>
      </c>
      <c r="E6" s="162">
        <v>0</v>
      </c>
      <c r="F6" s="162">
        <v>0</v>
      </c>
      <c r="G6" s="162">
        <v>0</v>
      </c>
      <c r="H6" s="153"/>
      <c r="I6" s="153"/>
    </row>
    <row r="7" spans="1:9" x14ac:dyDescent="0.25">
      <c r="B7" s="159" t="s">
        <v>0</v>
      </c>
      <c r="C7" s="163">
        <v>2125515.83</v>
      </c>
      <c r="D7" s="163">
        <v>2125515.83</v>
      </c>
      <c r="E7" s="163">
        <v>2125515.83</v>
      </c>
      <c r="F7" s="163">
        <v>2125515.83</v>
      </c>
      <c r="G7" s="163">
        <v>2125515.83</v>
      </c>
      <c r="H7" s="153"/>
      <c r="I7" s="153"/>
    </row>
    <row r="8" spans="1:9" x14ac:dyDescent="0.25">
      <c r="B8" s="160" t="s">
        <v>109</v>
      </c>
      <c r="C8" s="154"/>
      <c r="D8" s="154"/>
      <c r="E8" s="154"/>
      <c r="F8" s="154"/>
      <c r="G8" s="154"/>
      <c r="H8" s="153"/>
      <c r="I8" s="153"/>
    </row>
    <row r="9" spans="1:9" x14ac:dyDescent="0.25">
      <c r="B9" s="158" t="s">
        <v>2</v>
      </c>
      <c r="C9" s="162">
        <v>668016</v>
      </c>
      <c r="D9" s="162">
        <v>668016</v>
      </c>
      <c r="E9" s="162">
        <v>668016</v>
      </c>
      <c r="F9" s="162">
        <v>445933</v>
      </c>
      <c r="G9" s="162">
        <v>445933</v>
      </c>
      <c r="H9" s="153"/>
      <c r="I9" s="153"/>
    </row>
    <row r="10" spans="1:9" x14ac:dyDescent="0.25">
      <c r="B10" s="158" t="s">
        <v>94</v>
      </c>
      <c r="C10" s="162">
        <v>323934</v>
      </c>
      <c r="D10" s="162">
        <v>323934</v>
      </c>
      <c r="E10" s="162">
        <v>323934</v>
      </c>
      <c r="F10" s="162">
        <v>14800</v>
      </c>
      <c r="G10" s="162">
        <v>14800</v>
      </c>
      <c r="H10" s="153"/>
      <c r="I10" s="153"/>
    </row>
    <row r="11" spans="1:9" x14ac:dyDescent="0.25">
      <c r="B11" s="158" t="s">
        <v>3</v>
      </c>
      <c r="C11" s="162">
        <v>229505.12455742146</v>
      </c>
      <c r="D11" s="162">
        <v>229505.12455742146</v>
      </c>
      <c r="E11" s="162">
        <v>229505.12455742146</v>
      </c>
      <c r="F11" s="162">
        <v>227741.12455742146</v>
      </c>
      <c r="G11" s="162">
        <v>227741.12455742146</v>
      </c>
      <c r="H11" s="153"/>
      <c r="I11" s="153"/>
    </row>
    <row r="12" spans="1:9" x14ac:dyDescent="0.25">
      <c r="B12" s="158" t="s">
        <v>110</v>
      </c>
      <c r="C12" s="162">
        <v>442837.29</v>
      </c>
      <c r="D12" s="162">
        <v>442837.29</v>
      </c>
      <c r="E12" s="162">
        <v>442837.29</v>
      </c>
      <c r="F12" s="162">
        <v>442837.29</v>
      </c>
      <c r="G12" s="162">
        <v>442837.29</v>
      </c>
      <c r="H12" s="153"/>
      <c r="I12" s="153"/>
    </row>
    <row r="13" spans="1:9" ht="25.5" x14ac:dyDescent="0.25">
      <c r="B13" s="161" t="s">
        <v>93</v>
      </c>
      <c r="C13" s="162">
        <v>584947.77469811717</v>
      </c>
      <c r="D13" s="162">
        <v>584947.77469811717</v>
      </c>
      <c r="E13" s="162">
        <v>584947.77469811717</v>
      </c>
      <c r="F13" s="162">
        <v>489784.10622830549</v>
      </c>
      <c r="G13" s="162">
        <v>489784.10622830549</v>
      </c>
      <c r="H13" s="153"/>
      <c r="I13" s="153"/>
    </row>
    <row r="14" spans="1:9" x14ac:dyDescent="0.25">
      <c r="B14" s="158" t="s">
        <v>5</v>
      </c>
      <c r="C14" s="162">
        <v>26987.109285250554</v>
      </c>
      <c r="D14" s="162">
        <v>26987.109285250554</v>
      </c>
      <c r="E14" s="162">
        <v>26987.109285250554</v>
      </c>
      <c r="F14" s="162">
        <v>24288.398356725498</v>
      </c>
      <c r="G14" s="162">
        <v>24288.398356725498</v>
      </c>
      <c r="H14" s="153"/>
      <c r="I14" s="153"/>
    </row>
    <row r="15" spans="1:9" x14ac:dyDescent="0.25">
      <c r="B15" s="158" t="s">
        <v>6</v>
      </c>
      <c r="C15" s="162">
        <v>70649.140821147579</v>
      </c>
      <c r="D15" s="162">
        <v>70649.140821147579</v>
      </c>
      <c r="E15" s="162">
        <v>70649.140821147579</v>
      </c>
      <c r="F15" s="162">
        <v>47103</v>
      </c>
      <c r="G15" s="162">
        <v>47103</v>
      </c>
      <c r="H15" s="153"/>
      <c r="I15" s="153"/>
    </row>
    <row r="16" spans="1:9" x14ac:dyDescent="0.25">
      <c r="B16" s="158" t="s">
        <v>72</v>
      </c>
      <c r="C16" s="162">
        <v>18528.499267560001</v>
      </c>
      <c r="D16" s="162">
        <v>20906.499267560001</v>
      </c>
      <c r="E16" s="162">
        <v>20906.499267560001</v>
      </c>
      <c r="F16" s="162">
        <v>52789</v>
      </c>
      <c r="G16" s="162">
        <v>52789</v>
      </c>
      <c r="H16" s="153"/>
      <c r="I16" s="153"/>
    </row>
    <row r="17" spans="1:9" x14ac:dyDescent="0.25">
      <c r="B17" s="158" t="s">
        <v>111</v>
      </c>
      <c r="C17" s="162">
        <v>224572.81577308642</v>
      </c>
      <c r="D17" s="162">
        <v>224572.81577308642</v>
      </c>
      <c r="E17" s="162">
        <v>224572.81577308642</v>
      </c>
      <c r="F17" s="162">
        <v>195088.10519577778</v>
      </c>
      <c r="G17" s="162">
        <v>195088.10519577778</v>
      </c>
      <c r="H17" s="153"/>
      <c r="I17" s="153"/>
    </row>
    <row r="18" spans="1:9" x14ac:dyDescent="0.25">
      <c r="B18" s="158" t="s">
        <v>112</v>
      </c>
      <c r="C18" s="162">
        <v>0</v>
      </c>
      <c r="D18" s="162">
        <v>0</v>
      </c>
      <c r="E18" s="162">
        <v>0</v>
      </c>
      <c r="F18" s="162">
        <v>246697.67465073447</v>
      </c>
      <c r="G18" s="162">
        <v>171845.73793382299</v>
      </c>
      <c r="H18" s="153"/>
      <c r="I18" s="153"/>
    </row>
    <row r="19" spans="1:9" x14ac:dyDescent="0.25">
      <c r="B19" s="158" t="s">
        <v>65</v>
      </c>
      <c r="C19" s="162">
        <v>31882.737450000001</v>
      </c>
      <c r="D19" s="162">
        <v>31882.737450000001</v>
      </c>
      <c r="E19" s="162">
        <v>31882.737450000001</v>
      </c>
      <c r="F19" s="162">
        <v>31882.737450000001</v>
      </c>
      <c r="G19" s="162">
        <v>31882.737450000001</v>
      </c>
      <c r="H19" s="153"/>
      <c r="I19" s="153"/>
    </row>
    <row r="20" spans="1:9" x14ac:dyDescent="0.25">
      <c r="B20" s="158" t="s">
        <v>61</v>
      </c>
      <c r="C20" s="162" t="s">
        <v>105</v>
      </c>
      <c r="D20" s="162" t="s">
        <v>105</v>
      </c>
      <c r="E20" s="162">
        <v>1000</v>
      </c>
      <c r="F20" s="162">
        <v>10000</v>
      </c>
      <c r="G20" s="162">
        <v>11000</v>
      </c>
      <c r="H20" s="153"/>
      <c r="I20" s="153"/>
    </row>
    <row r="21" spans="1:9" x14ac:dyDescent="0.25">
      <c r="B21" s="158" t="s">
        <v>63</v>
      </c>
      <c r="C21" s="162" t="s">
        <v>105</v>
      </c>
      <c r="D21" s="162" t="s">
        <v>105</v>
      </c>
      <c r="E21" s="162" t="s">
        <v>105</v>
      </c>
      <c r="F21" s="162">
        <v>10627.579150000001</v>
      </c>
      <c r="G21" s="162">
        <v>10627.579150000001</v>
      </c>
      <c r="H21" s="153"/>
      <c r="I21" s="153"/>
    </row>
    <row r="22" spans="1:9" x14ac:dyDescent="0.25">
      <c r="B22" s="159" t="s">
        <v>113</v>
      </c>
      <c r="C22" s="163">
        <v>2621860.4918525838</v>
      </c>
      <c r="D22" s="163">
        <v>2624238.4918525838</v>
      </c>
      <c r="E22" s="163">
        <v>2625238.4918525838</v>
      </c>
      <c r="F22" s="163">
        <v>2239084.0155889643</v>
      </c>
      <c r="G22" s="163">
        <v>2165232.078872053</v>
      </c>
      <c r="H22" s="153"/>
      <c r="I22" s="153"/>
    </row>
    <row r="23" spans="1:9" x14ac:dyDescent="0.25">
      <c r="B23" s="153" t="s">
        <v>81</v>
      </c>
      <c r="C23" s="155">
        <v>-496344.66185258375</v>
      </c>
      <c r="D23" s="155">
        <v>-498722.66185258375</v>
      </c>
      <c r="E23" s="155">
        <v>-499722.66185258375</v>
      </c>
      <c r="F23" s="155">
        <v>-113568.18558896426</v>
      </c>
      <c r="G23" s="155">
        <v>-39716.248872052878</v>
      </c>
      <c r="H23" s="153"/>
      <c r="I23" s="153"/>
    </row>
    <row r="24" spans="1:9" x14ac:dyDescent="0.25">
      <c r="A24" s="153"/>
      <c r="B24" s="153"/>
      <c r="C24" s="153"/>
      <c r="D24" s="153"/>
      <c r="E24" s="153"/>
      <c r="F24" s="153"/>
      <c r="G24" s="153"/>
      <c r="H24" s="153"/>
      <c r="I24" s="153"/>
    </row>
    <row r="25" spans="1:9" x14ac:dyDescent="0.25">
      <c r="A25" s="153"/>
      <c r="B25" s="153"/>
      <c r="C25" s="153"/>
      <c r="D25" s="153"/>
      <c r="E25" s="153"/>
      <c r="F25" s="153"/>
      <c r="G25" s="153"/>
      <c r="H25" s="153"/>
      <c r="I25" s="153"/>
    </row>
    <row r="26" spans="1:9" x14ac:dyDescent="0.25">
      <c r="A26" s="153"/>
      <c r="B26" s="153"/>
      <c r="C26" s="153"/>
      <c r="D26" s="153"/>
      <c r="E26" s="153"/>
      <c r="F26" s="153"/>
      <c r="G26" s="153"/>
      <c r="H26" s="153"/>
      <c r="I26" s="153"/>
    </row>
    <row r="27" spans="1:9" x14ac:dyDescent="0.25">
      <c r="A27" s="153"/>
      <c r="B27" s="153"/>
      <c r="C27" s="153"/>
      <c r="D27" s="153"/>
      <c r="E27" s="153"/>
      <c r="F27" s="153"/>
      <c r="G27" s="153"/>
      <c r="H27" s="153"/>
      <c r="I27" s="153"/>
    </row>
    <row r="28" spans="1:9" x14ac:dyDescent="0.25">
      <c r="A28" s="153"/>
      <c r="B28" s="153"/>
      <c r="C28" s="153"/>
      <c r="D28" s="153"/>
      <c r="E28" s="153"/>
      <c r="F28" s="153"/>
      <c r="G28" s="153"/>
      <c r="H28" s="153"/>
      <c r="I28" s="153"/>
    </row>
    <row r="29" spans="1:9" x14ac:dyDescent="0.25">
      <c r="A29" s="153"/>
      <c r="B29" s="153"/>
      <c r="C29" s="153"/>
      <c r="D29" s="153"/>
      <c r="E29" s="153"/>
      <c r="F29" s="153"/>
      <c r="G29" s="153"/>
      <c r="H29" s="153"/>
      <c r="I29" s="1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Compte de resultats i inversion</vt:lpstr>
      <vt:lpstr>Taula de costos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Miquel Comas</dc:creator>
  <cp:lastModifiedBy>Francesc Heras</cp:lastModifiedBy>
  <cp:lastPrinted>2026-03-02T08:42:59Z</cp:lastPrinted>
  <dcterms:created xsi:type="dcterms:W3CDTF">2019-01-12T11:43:22Z</dcterms:created>
  <dcterms:modified xsi:type="dcterms:W3CDTF">2026-03-02T08:43:06Z</dcterms:modified>
</cp:coreProperties>
</file>