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NATHANNEVER\Jardineria\PLEC tècnic jardineria zona est i litoral\NOU PLEC 2026\DOCUMENTS DEFINITIUS\DOCUMENTS\DOCUMENTS FINALS AGOST 2026\"/>
    </mc:Choice>
  </mc:AlternateContent>
  <bookViews>
    <workbookView xWindow="0" yWindow="0" windowWidth="2145" windowHeight="0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K82" i="1" l="1"/>
  <c r="H107" i="1"/>
  <c r="H106" i="1"/>
  <c r="I103" i="1"/>
  <c r="I104" i="1"/>
  <c r="H101" i="1"/>
  <c r="H100" i="1"/>
  <c r="H91" i="1" l="1"/>
  <c r="H90" i="1"/>
  <c r="C152" i="1" l="1"/>
  <c r="C164" i="1"/>
  <c r="H88" i="1"/>
  <c r="H89" i="1"/>
  <c r="I75" i="1"/>
  <c r="F14" i="1"/>
  <c r="I70" i="1"/>
  <c r="H70" i="1"/>
  <c r="E11" i="1"/>
  <c r="E14" i="1" s="1"/>
  <c r="H11" i="1" l="1"/>
  <c r="H14" i="1" s="1"/>
  <c r="L70" i="1" s="1"/>
  <c r="G11" i="1"/>
  <c r="G14" i="1" s="1"/>
  <c r="K70" i="1" s="1"/>
  <c r="M24" i="1" l="1"/>
  <c r="J27" i="1"/>
  <c r="J26" i="1"/>
  <c r="J25" i="1"/>
  <c r="J24" i="1"/>
  <c r="F11" i="1" l="1"/>
  <c r="H96" i="1" l="1"/>
  <c r="H75" i="1"/>
  <c r="D60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L27" i="1"/>
  <c r="M27" i="1"/>
  <c r="J28" i="1" l="1"/>
  <c r="I52" i="1"/>
  <c r="H50" i="1"/>
  <c r="E27" i="1"/>
  <c r="H27" i="1" s="1"/>
  <c r="H49" i="1"/>
  <c r="H48" i="1"/>
  <c r="H47" i="1"/>
  <c r="H46" i="1"/>
  <c r="H45" i="1"/>
  <c r="H44" i="1" l="1"/>
  <c r="H43" i="1"/>
  <c r="H42" i="1" l="1"/>
  <c r="H41" i="1"/>
  <c r="H40" i="1"/>
  <c r="H39" i="1"/>
  <c r="H38" i="1"/>
  <c r="H37" i="1"/>
  <c r="H36" i="1"/>
  <c r="H35" i="1"/>
  <c r="H34" i="1"/>
  <c r="H33" i="1"/>
  <c r="H55" i="1"/>
  <c r="H54" i="1"/>
  <c r="L26" i="1"/>
  <c r="L25" i="1"/>
  <c r="L24" i="1"/>
  <c r="M28" i="1" l="1"/>
  <c r="H52" i="1"/>
  <c r="L28" i="1"/>
  <c r="H56" i="1"/>
  <c r="E26" i="1"/>
  <c r="H26" i="1" s="1"/>
  <c r="E25" i="1"/>
  <c r="H25" i="1" s="1"/>
  <c r="E24" i="1"/>
  <c r="H24" i="1" s="1"/>
  <c r="H65" i="1"/>
  <c r="H57" i="1" l="1"/>
  <c r="H28" i="1"/>
  <c r="H66" i="1"/>
  <c r="I74" i="1" s="1"/>
  <c r="H95" i="1" l="1"/>
  <c r="I73" i="1"/>
  <c r="H73" i="1"/>
  <c r="H74" i="1"/>
  <c r="H97" i="1"/>
  <c r="H29" i="1"/>
  <c r="I72" i="1" s="1"/>
  <c r="H94" i="1" l="1"/>
  <c r="H72" i="1"/>
  <c r="H93" i="1" l="1"/>
  <c r="I92" i="1"/>
  <c r="J18" i="1"/>
  <c r="J17" i="1"/>
  <c r="H19" i="1"/>
  <c r="L84" i="1" l="1"/>
  <c r="F144" i="1" s="1"/>
  <c r="C153" i="1"/>
  <c r="C165" i="1" s="1"/>
  <c r="K84" i="1"/>
  <c r="F141" i="1" s="1"/>
  <c r="I71" i="1"/>
  <c r="I76" i="1" s="1"/>
  <c r="I84" i="1"/>
  <c r="F137" i="1" s="1"/>
  <c r="H84" i="1"/>
  <c r="F134" i="1" s="1"/>
  <c r="H71" i="1"/>
  <c r="I79" i="1" l="1"/>
  <c r="C166" i="1" s="1"/>
  <c r="I80" i="1"/>
  <c r="C167" i="1" s="1"/>
  <c r="H76" i="1"/>
  <c r="H80" i="1" s="1"/>
  <c r="H99" i="1" s="1"/>
  <c r="K76" i="1"/>
  <c r="L76" i="1"/>
  <c r="C169" i="1" l="1"/>
  <c r="I82" i="1"/>
  <c r="I83" i="1" s="1"/>
  <c r="F136" i="1" s="1"/>
  <c r="C155" i="1"/>
  <c r="H79" i="1"/>
  <c r="L79" i="1"/>
  <c r="L80" i="1"/>
  <c r="K80" i="1"/>
  <c r="K79" i="1"/>
  <c r="I100" i="1"/>
  <c r="F135" i="1" l="1"/>
  <c r="I102" i="1"/>
  <c r="F139" i="1"/>
  <c r="K83" i="1"/>
  <c r="F140" i="1" s="1"/>
  <c r="L82" i="1"/>
  <c r="C154" i="1"/>
  <c r="C157" i="1" s="1"/>
  <c r="H82" i="1"/>
  <c r="H98" i="1"/>
  <c r="I109" i="1" l="1"/>
  <c r="I111" i="1" s="1"/>
  <c r="I108" i="1"/>
  <c r="I110" i="1" s="1"/>
  <c r="H83" i="1"/>
  <c r="F133" i="1" s="1"/>
  <c r="F132" i="1"/>
  <c r="F138" i="1" s="1"/>
  <c r="F142" i="1"/>
  <c r="L83" i="1"/>
  <c r="F143" i="1" s="1"/>
  <c r="H116" i="1" l="1"/>
  <c r="I105" i="1"/>
  <c r="F145" i="1"/>
  <c r="F147" i="1" s="1"/>
  <c r="H102" i="1"/>
  <c r="J102" i="1" s="1"/>
  <c r="H103" i="1"/>
  <c r="J103" i="1" s="1"/>
  <c r="H108" i="1"/>
  <c r="J108" i="1" s="1"/>
  <c r="H109" i="1"/>
  <c r="J109" i="1" s="1"/>
  <c r="H111" i="1"/>
  <c r="H126" i="1" s="1"/>
  <c r="H127" i="1" s="1"/>
  <c r="H104" i="1" l="1"/>
  <c r="H114" i="1" s="1"/>
  <c r="H115" i="1" s="1"/>
  <c r="H110" i="1"/>
  <c r="H122" i="1" s="1"/>
  <c r="H123" i="1" s="1"/>
  <c r="H124" i="1"/>
  <c r="H120" i="1"/>
  <c r="H128" i="1"/>
  <c r="H105" i="1"/>
  <c r="H118" i="1" s="1"/>
  <c r="H119" i="1" s="1"/>
</calcChain>
</file>

<file path=xl/sharedStrings.xml><?xml version="1.0" encoding="utf-8"?>
<sst xmlns="http://schemas.openxmlformats.org/spreadsheetml/2006/main" count="161" uniqueCount="135">
  <si>
    <t>%</t>
  </si>
  <si>
    <t>IVA</t>
  </si>
  <si>
    <t>Despeses Generals</t>
  </si>
  <si>
    <t>Benefici industrial</t>
  </si>
  <si>
    <t>Als efectes de l'IVA</t>
  </si>
  <si>
    <t>modificació del contracte</t>
  </si>
  <si>
    <t>VALOR ESTIMAT DEL CONTRACTE</t>
  </si>
  <si>
    <t>preu base de la licitació IVA A PART</t>
  </si>
  <si>
    <t>PRESSUPOST BASE LICITACIÓ IVA A PART</t>
  </si>
  <si>
    <t>Càlcul del valor estimat del contracte</t>
  </si>
  <si>
    <t>Total cost personal</t>
  </si>
  <si>
    <t>PERSONAL</t>
  </si>
  <si>
    <t>MAQUINÀRIA</t>
  </si>
  <si>
    <t>MATERIAL I TRACTAMENTS FITOSANITARIS</t>
  </si>
  <si>
    <t>total maquinària</t>
  </si>
  <si>
    <t>Total personal</t>
  </si>
  <si>
    <t>despeses de material: plantes de tot tipus</t>
  </si>
  <si>
    <t>despeses de material: altres</t>
  </si>
  <si>
    <t>serra mecànica</t>
  </si>
  <si>
    <t>tallabarder</t>
  </si>
  <si>
    <t>biotrituradora</t>
  </si>
  <si>
    <t>Total maquinària</t>
  </si>
  <si>
    <t>m2</t>
  </si>
  <si>
    <t>Eur/mes</t>
  </si>
  <si>
    <t>Total magatzem</t>
  </si>
  <si>
    <t xml:space="preserve">Total </t>
  </si>
  <si>
    <t>SUBTOTALS</t>
  </si>
  <si>
    <t>magatzem</t>
  </si>
  <si>
    <t>LLOGUER ESPAIS</t>
  </si>
  <si>
    <t>dies</t>
  </si>
  <si>
    <t>import</t>
  </si>
  <si>
    <t>% anual</t>
  </si>
  <si>
    <t>període anys màxim d'amortització</t>
  </si>
  <si>
    <t>amortització</t>
  </si>
  <si>
    <t>revisió, recanvis, reparació</t>
  </si>
  <si>
    <t>Total material, com a màxim</t>
  </si>
  <si>
    <t>Material altres, com a màxim</t>
  </si>
  <si>
    <t>assegurances</t>
  </si>
  <si>
    <t>total vehicles amortització, consum, manteniment, assegurances</t>
  </si>
  <si>
    <t>n</t>
  </si>
  <si>
    <t xml:space="preserve">període anys d'amortització </t>
  </si>
  <si>
    <t>motocultor</t>
  </si>
  <si>
    <t>escarificadora</t>
  </si>
  <si>
    <t>bufador</t>
  </si>
  <si>
    <t>serra mecànica gran</t>
  </si>
  <si>
    <t>desbrossadora</t>
  </si>
  <si>
    <t>manteniment / reparacions</t>
  </si>
  <si>
    <t>vehicles amortització, consum, manteniment, assegurances</t>
  </si>
  <si>
    <t>maquinaria</t>
  </si>
  <si>
    <t>lloguer espais</t>
  </si>
  <si>
    <t>primera pròrroga</t>
  </si>
  <si>
    <t>segona pròrroga</t>
  </si>
  <si>
    <t>auxiliar jardiner</t>
  </si>
  <si>
    <t>% dedicació</t>
  </si>
  <si>
    <t>motobomba</t>
  </si>
  <si>
    <t>cuba per regar  2000 l</t>
  </si>
  <si>
    <t>tallagespes</t>
  </si>
  <si>
    <t>remolc</t>
  </si>
  <si>
    <t>cuba atomitzadora productes fitosanitaris 100 l</t>
  </si>
  <si>
    <t>corró per gespes</t>
  </si>
  <si>
    <t>motxilla tractament</t>
  </si>
  <si>
    <t>altres (escales, tràmecs, pales..etc)</t>
  </si>
  <si>
    <t>furgoneta 1</t>
  </si>
  <si>
    <t>furgoneta 2</t>
  </si>
  <si>
    <t>combustible</t>
  </si>
  <si>
    <t>total vehicles</t>
  </si>
  <si>
    <r>
      <t>total lloguer magatzem</t>
    </r>
    <r>
      <rPr>
        <sz val="11"/>
        <color rgb="FFFF0000"/>
        <rFont val="Calibri"/>
        <family val="2"/>
        <scheme val="minor"/>
      </rPr>
      <t xml:space="preserve"> </t>
    </r>
  </si>
  <si>
    <t>reparacions i manteniment</t>
  </si>
  <si>
    <t>GESTIÓ RESIDU VERD</t>
  </si>
  <si>
    <t>tones</t>
  </si>
  <si>
    <t>import (48€/tn)</t>
  </si>
  <si>
    <t>Total gestió residu verd</t>
  </si>
  <si>
    <t>Gestió abocador residu verd no triturat</t>
  </si>
  <si>
    <t>total gestió residu verd</t>
  </si>
  <si>
    <t>gestió residu verd</t>
  </si>
  <si>
    <t>VEHICLES (amortització, consum, manteniment)</t>
  </si>
  <si>
    <t>Material planta, com a màxim</t>
  </si>
  <si>
    <t>COSTOS LABORALS</t>
  </si>
  <si>
    <t>COSTOS DIRECTES</t>
  </si>
  <si>
    <t>COSTOS INDIRECTES</t>
  </si>
  <si>
    <t>BENEFICI INDUSTRIAL</t>
  </si>
  <si>
    <t>TOTAL</t>
  </si>
  <si>
    <t>import vehicle</t>
  </si>
  <si>
    <t>consum ciutat (l/100km).</t>
  </si>
  <si>
    <t>total planta, material i tractaments fitosanitaris</t>
  </si>
  <si>
    <t xml:space="preserve">lloguer camió cistella 20-27 m </t>
  </si>
  <si>
    <t>Lloguer plataforma Mecaplus 14 m</t>
  </si>
  <si>
    <t>Consum Eur / any  (Cost: 1.5 Eur/litre)</t>
  </si>
  <si>
    <t>segadora de seient de gir zero</t>
  </si>
  <si>
    <t xml:space="preserve">2n encarregat </t>
  </si>
  <si>
    <t xml:space="preserve"> baixes i absentisme</t>
  </si>
  <si>
    <t>camió 3500 kg amb plataforma i bolquet</t>
  </si>
  <si>
    <t xml:space="preserve">tisores de podar </t>
  </si>
  <si>
    <t>pèrtiga mecànica</t>
  </si>
  <si>
    <t>primer any</t>
  </si>
  <si>
    <t>segon any</t>
  </si>
  <si>
    <t>total anys contracte</t>
  </si>
  <si>
    <t>preu fix</t>
  </si>
  <si>
    <t>preu màxim variable</t>
  </si>
  <si>
    <t>Càlcul econòmic  contracte jardineria de la zona Est i Litoral 2026</t>
  </si>
  <si>
    <t>substitucions vacances (amb auxiliar jardiner)</t>
  </si>
  <si>
    <t>1ERA PRÒRROGA</t>
  </si>
  <si>
    <t>2NA PRÒRROGA</t>
  </si>
  <si>
    <t>1r encarregat (encarregat tècnic)</t>
  </si>
  <si>
    <t>IMPORT ANY 1 (segons conveni)</t>
  </si>
  <si>
    <t>IMPORT ANY 2(segons conveni)</t>
  </si>
  <si>
    <t>IMPORT 1ra PRÒRROGA(segons conveni)</t>
  </si>
  <si>
    <t>IMPORT 2na PRÒRROGA(segons conveni)</t>
  </si>
  <si>
    <t>1er ANY</t>
  </si>
  <si>
    <t>2n ANY</t>
  </si>
  <si>
    <t>PRESSUPOST BASE LICITACIÓ IVA INCLÒS ANY 1</t>
  </si>
  <si>
    <t>PRESSUPOST BASE LICITACIÓ IVA INCLÒS ANY 2</t>
  </si>
  <si>
    <t>despeses de personal ANY 1</t>
  </si>
  <si>
    <t>despeses de personal ANY 2</t>
  </si>
  <si>
    <t>SUBTOTALS ANY 1</t>
  </si>
  <si>
    <t>SUBTOTALS ANY 2</t>
  </si>
  <si>
    <t>ANY 1</t>
  </si>
  <si>
    <t>ANY 2</t>
  </si>
  <si>
    <t>IVA ANY 1</t>
  </si>
  <si>
    <t>IVA ANY 2</t>
  </si>
  <si>
    <t>part fixe</t>
  </si>
  <si>
    <t>màxim part variable</t>
  </si>
  <si>
    <t>DESGLOSSAMENT PRESSUPOST BASE LICITACIÓ (iva apart) 1r ANY</t>
  </si>
  <si>
    <t>DESGLOSSAMENT PRESSUPOST BASE LICITACIÓ (iva apart) 2n ANY</t>
  </si>
  <si>
    <t>oficial 1era jardiner</t>
  </si>
  <si>
    <t>despeses de personal PRIMERA PRÒRROGA</t>
  </si>
  <si>
    <t>despeses de personal SEGONA PRÒRROGA</t>
  </si>
  <si>
    <t>PRESSUPOST BASE LICITACIÓ IVA INCLÒS 1ERA PRÒRROGA</t>
  </si>
  <si>
    <t>PRESSUPOST BASE LICITACIÓ IVA SEGONA PRÒRROGA</t>
  </si>
  <si>
    <t>SUBTOTALS 1ERA PRÒRROGA</t>
  </si>
  <si>
    <t>SUBTOTALS 2NA PRÒRROGA</t>
  </si>
  <si>
    <t>IVA 1era PRÒRROGA</t>
  </si>
  <si>
    <t>IVA 2na PRÒRROGA</t>
  </si>
  <si>
    <t>despeses generals (any 1)</t>
  </si>
  <si>
    <t>benefici industrial (any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</si>
</sst>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0\ &quot;€&quot;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99">
    <xf numFmtId="0" fontId="0" fillId="0" borderId="0" xfId="0"/>
    <xf numFmtId="0" fontId="1" fillId="0" borderId="1" xfId="0" applyFont="1" applyBorder="1"/>
    <xf numFmtId="0" fontId="0" fillId="0" borderId="1" xfId="0" applyBorder="1"/>
    <xf numFmtId="4" fontId="0" fillId="0" borderId="1" xfId="0" applyNumberFormat="1" applyBorder="1"/>
    <xf numFmtId="9" fontId="0" fillId="0" borderId="1" xfId="0" applyNumberFormat="1" applyBorder="1"/>
    <xf numFmtId="0" fontId="0" fillId="0" borderId="1" xfId="0" applyBorder="1" applyAlignment="1">
      <alignment horizontal="right"/>
    </xf>
    <xf numFmtId="9" fontId="0" fillId="2" borderId="1" xfId="0" applyNumberFormat="1" applyFill="1" applyBorder="1"/>
    <xf numFmtId="0" fontId="1" fillId="3" borderId="1" xfId="0" applyFont="1" applyFill="1" applyBorder="1"/>
    <xf numFmtId="0" fontId="0" fillId="3" borderId="1" xfId="0" applyFill="1" applyBorder="1"/>
    <xf numFmtId="0" fontId="0" fillId="0" borderId="1" xfId="0" applyFill="1" applyBorder="1"/>
    <xf numFmtId="4" fontId="1" fillId="0" borderId="1" xfId="0" applyNumberFormat="1" applyFont="1" applyBorder="1"/>
    <xf numFmtId="2" fontId="0" fillId="4" borderId="1" xfId="0" applyNumberFormat="1" applyFill="1" applyBorder="1"/>
    <xf numFmtId="4" fontId="0" fillId="4" borderId="1" xfId="0" applyNumberFormat="1" applyFill="1" applyBorder="1"/>
    <xf numFmtId="0" fontId="0" fillId="6" borderId="1" xfId="0" applyFill="1" applyBorder="1"/>
    <xf numFmtId="0" fontId="0" fillId="7" borderId="1" xfId="0" applyFill="1" applyBorder="1"/>
    <xf numFmtId="2" fontId="0" fillId="7" borderId="1" xfId="0" applyNumberFormat="1" applyFill="1" applyBorder="1"/>
    <xf numFmtId="4" fontId="0" fillId="7" borderId="1" xfId="0" applyNumberFormat="1" applyFill="1" applyBorder="1"/>
    <xf numFmtId="9" fontId="0" fillId="0" borderId="1" xfId="0" applyNumberFormat="1" applyFill="1" applyBorder="1"/>
    <xf numFmtId="0" fontId="1" fillId="6" borderId="1" xfId="0" applyFont="1" applyFill="1" applyBorder="1"/>
    <xf numFmtId="9" fontId="0" fillId="5" borderId="1" xfId="0" applyNumberFormat="1" applyFill="1" applyBorder="1"/>
    <xf numFmtId="0" fontId="1" fillId="0" borderId="1" xfId="0" applyFont="1" applyFill="1" applyBorder="1"/>
    <xf numFmtId="0" fontId="2" fillId="5" borderId="1" xfId="0" applyFont="1" applyFill="1" applyBorder="1"/>
    <xf numFmtId="4" fontId="2" fillId="5" borderId="1" xfId="0" applyNumberFormat="1" applyFont="1" applyFill="1" applyBorder="1"/>
    <xf numFmtId="4" fontId="3" fillId="0" borderId="1" xfId="0" applyNumberFormat="1" applyFont="1" applyBorder="1"/>
    <xf numFmtId="0" fontId="0" fillId="9" borderId="1" xfId="0" applyFill="1" applyBorder="1"/>
    <xf numFmtId="2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/>
    <xf numFmtId="0" fontId="0" fillId="0" borderId="0" xfId="0" applyAlignment="1">
      <alignment wrapText="1"/>
    </xf>
    <xf numFmtId="4" fontId="4" fillId="0" borderId="0" xfId="0" applyNumberFormat="1" applyFont="1"/>
    <xf numFmtId="0" fontId="1" fillId="0" borderId="0" xfId="0" applyFont="1"/>
    <xf numFmtId="4" fontId="0" fillId="0" borderId="1" xfId="0" applyNumberFormat="1" applyFill="1" applyBorder="1"/>
    <xf numFmtId="4" fontId="1" fillId="0" borderId="1" xfId="0" applyNumberFormat="1" applyFont="1" applyFill="1" applyBorder="1"/>
    <xf numFmtId="0" fontId="1" fillId="8" borderId="1" xfId="0" applyFont="1" applyFill="1" applyBorder="1"/>
    <xf numFmtId="0" fontId="0" fillId="8" borderId="1" xfId="0" applyFill="1" applyBorder="1"/>
    <xf numFmtId="4" fontId="1" fillId="8" borderId="1" xfId="0" applyNumberFormat="1" applyFont="1" applyFill="1" applyBorder="1" applyAlignment="1">
      <alignment wrapText="1"/>
    </xf>
    <xf numFmtId="4" fontId="0" fillId="8" borderId="1" xfId="0" applyNumberFormat="1" applyFill="1" applyBorder="1" applyAlignment="1"/>
    <xf numFmtId="9" fontId="0" fillId="8" borderId="1" xfId="0" applyNumberFormat="1" applyFill="1" applyBorder="1"/>
    <xf numFmtId="0" fontId="1" fillId="10" borderId="1" xfId="0" applyFont="1" applyFill="1" applyBorder="1"/>
    <xf numFmtId="0" fontId="2" fillId="10" borderId="1" xfId="0" applyFont="1" applyFill="1" applyBorder="1"/>
    <xf numFmtId="4" fontId="2" fillId="10" borderId="1" xfId="0" applyNumberFormat="1" applyFont="1" applyFill="1" applyBorder="1"/>
    <xf numFmtId="0" fontId="1" fillId="11" borderId="1" xfId="0" applyFont="1" applyFill="1" applyBorder="1"/>
    <xf numFmtId="9" fontId="0" fillId="11" borderId="1" xfId="0" applyNumberFormat="1" applyFill="1" applyBorder="1"/>
    <xf numFmtId="0" fontId="0" fillId="2" borderId="1" xfId="0" applyFont="1" applyFill="1" applyBorder="1"/>
    <xf numFmtId="9" fontId="0" fillId="2" borderId="1" xfId="0" quotePrefix="1" applyNumberFormat="1" applyFill="1" applyBorder="1" applyAlignment="1">
      <alignment horizontal="right"/>
    </xf>
    <xf numFmtId="4" fontId="0" fillId="2" borderId="1" xfId="0" quotePrefix="1" applyNumberFormat="1" applyFill="1" applyBorder="1" applyAlignment="1">
      <alignment horizontal="right"/>
    </xf>
    <xf numFmtId="4" fontId="3" fillId="2" borderId="1" xfId="0" quotePrefix="1" applyNumberFormat="1" applyFont="1" applyFill="1" applyBorder="1" applyAlignment="1">
      <alignment horizontal="right"/>
    </xf>
    <xf numFmtId="4" fontId="0" fillId="2" borderId="1" xfId="0" applyNumberFormat="1" applyFill="1" applyBorder="1"/>
    <xf numFmtId="0" fontId="1" fillId="12" borderId="1" xfId="0" applyFont="1" applyFill="1" applyBorder="1"/>
    <xf numFmtId="0" fontId="0" fillId="12" borderId="1" xfId="0" applyFill="1" applyBorder="1"/>
    <xf numFmtId="4" fontId="0" fillId="12" borderId="1" xfId="0" applyNumberFormat="1" applyFill="1" applyBorder="1"/>
    <xf numFmtId="4" fontId="1" fillId="12" borderId="1" xfId="0" applyNumberFormat="1" applyFont="1" applyFill="1" applyBorder="1"/>
    <xf numFmtId="0" fontId="0" fillId="0" borderId="1" xfId="0" applyBorder="1" applyAlignment="1">
      <alignment horizontal="left"/>
    </xf>
    <xf numFmtId="9" fontId="3" fillId="2" borderId="1" xfId="0" quotePrefix="1" applyNumberFormat="1" applyFont="1" applyFill="1" applyBorder="1" applyAlignment="1">
      <alignment horizontal="right"/>
    </xf>
    <xf numFmtId="9" fontId="3" fillId="2" borderId="1" xfId="0" applyNumberFormat="1" applyFont="1" applyFill="1" applyBorder="1"/>
    <xf numFmtId="0" fontId="0" fillId="0" borderId="1" xfId="0" applyFont="1" applyBorder="1"/>
    <xf numFmtId="0" fontId="0" fillId="10" borderId="1" xfId="0" applyFill="1" applyBorder="1"/>
    <xf numFmtId="0" fontId="0" fillId="13" borderId="1" xfId="0" applyFill="1" applyBorder="1"/>
    <xf numFmtId="0" fontId="1" fillId="14" borderId="1" xfId="0" applyFont="1" applyFill="1" applyBorder="1"/>
    <xf numFmtId="0" fontId="0" fillId="14" borderId="1" xfId="0" applyFill="1" applyBorder="1"/>
    <xf numFmtId="0" fontId="1" fillId="5" borderId="1" xfId="0" applyFont="1" applyFill="1" applyBorder="1"/>
    <xf numFmtId="0" fontId="0" fillId="5" borderId="1" xfId="0" applyFill="1" applyBorder="1"/>
    <xf numFmtId="0" fontId="0" fillId="11" borderId="1" xfId="0" applyFill="1" applyBorder="1"/>
    <xf numFmtId="4" fontId="0" fillId="12" borderId="1" xfId="0" applyNumberFormat="1" applyFont="1" applyFill="1" applyBorder="1"/>
    <xf numFmtId="4" fontId="3" fillId="11" borderId="1" xfId="0" applyNumberFormat="1" applyFont="1" applyFill="1" applyBorder="1"/>
    <xf numFmtId="0" fontId="0" fillId="14" borderId="1" xfId="0" applyFill="1" applyBorder="1" applyAlignment="1">
      <alignment horizontal="right"/>
    </xf>
    <xf numFmtId="9" fontId="0" fillId="5" borderId="1" xfId="0" applyNumberFormat="1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9" fontId="0" fillId="12" borderId="1" xfId="0" applyNumberFormat="1" applyFill="1" applyBorder="1" applyAlignment="1">
      <alignment horizontal="right"/>
    </xf>
    <xf numFmtId="4" fontId="3" fillId="0" borderId="1" xfId="0" applyNumberFormat="1" applyFont="1" applyFill="1" applyBorder="1"/>
    <xf numFmtId="9" fontId="0" fillId="0" borderId="1" xfId="0" applyNumberFormat="1" applyFill="1" applyBorder="1" applyAlignment="1">
      <alignment horizontal="right"/>
    </xf>
    <xf numFmtId="0" fontId="0" fillId="15" borderId="1" xfId="0" applyFill="1" applyBorder="1"/>
    <xf numFmtId="0" fontId="0" fillId="16" borderId="1" xfId="0" applyFill="1" applyBorder="1"/>
    <xf numFmtId="16" fontId="5" fillId="17" borderId="1" xfId="0" applyNumberFormat="1" applyFont="1" applyFill="1" applyBorder="1"/>
    <xf numFmtId="0" fontId="0" fillId="17" borderId="1" xfId="0" applyFill="1" applyBorder="1"/>
    <xf numFmtId="0" fontId="2" fillId="17" borderId="1" xfId="0" applyFont="1" applyFill="1" applyBorder="1"/>
    <xf numFmtId="4" fontId="3" fillId="12" borderId="1" xfId="0" applyNumberFormat="1" applyFont="1" applyFill="1" applyBorder="1" applyAlignment="1">
      <alignment horizontal="right"/>
    </xf>
    <xf numFmtId="0" fontId="3" fillId="11" borderId="1" xfId="0" applyFont="1" applyFill="1" applyBorder="1" applyAlignment="1">
      <alignment horizontal="right"/>
    </xf>
    <xf numFmtId="9" fontId="0" fillId="12" borderId="1" xfId="0" applyNumberFormat="1" applyFill="1" applyBorder="1"/>
    <xf numFmtId="1" fontId="0" fillId="0" borderId="1" xfId="0" applyNumberFormat="1" applyFill="1" applyBorder="1" applyAlignment="1">
      <alignment horizontal="right"/>
    </xf>
    <xf numFmtId="0" fontId="0" fillId="12" borderId="1" xfId="0" applyFont="1" applyFill="1" applyBorder="1" applyAlignment="1">
      <alignment horizontal="right"/>
    </xf>
    <xf numFmtId="9" fontId="3" fillId="12" borderId="1" xfId="0" applyNumberFormat="1" applyFont="1" applyFill="1" applyBorder="1"/>
    <xf numFmtId="1" fontId="0" fillId="5" borderId="1" xfId="0" applyNumberFormat="1" applyFill="1" applyBorder="1" applyAlignment="1">
      <alignment horizontal="right"/>
    </xf>
    <xf numFmtId="9" fontId="0" fillId="10" borderId="1" xfId="0" applyNumberFormat="1" applyFill="1" applyBorder="1" applyAlignment="1">
      <alignment horizontal="right"/>
    </xf>
    <xf numFmtId="1" fontId="0" fillId="10" borderId="1" xfId="0" applyNumberFormat="1" applyFill="1" applyBorder="1" applyAlignment="1">
      <alignment horizontal="right"/>
    </xf>
    <xf numFmtId="9" fontId="0" fillId="13" borderId="1" xfId="0" applyNumberFormat="1" applyFill="1" applyBorder="1" applyAlignment="1">
      <alignment horizontal="right"/>
    </xf>
    <xf numFmtId="1" fontId="0" fillId="13" borderId="1" xfId="0" applyNumberFormat="1" applyFill="1" applyBorder="1" applyAlignment="1">
      <alignment horizontal="right"/>
    </xf>
    <xf numFmtId="1" fontId="0" fillId="16" borderId="1" xfId="0" applyNumberFormat="1" applyFill="1" applyBorder="1" applyAlignment="1">
      <alignment horizontal="right"/>
    </xf>
    <xf numFmtId="9" fontId="0" fillId="16" borderId="1" xfId="0" applyNumberFormat="1" applyFill="1" applyBorder="1" applyAlignment="1">
      <alignment horizontal="right"/>
    </xf>
    <xf numFmtId="1" fontId="0" fillId="15" borderId="1" xfId="0" applyNumberFormat="1" applyFill="1" applyBorder="1" applyAlignment="1">
      <alignment horizontal="right"/>
    </xf>
    <xf numFmtId="9" fontId="0" fillId="15" borderId="1" xfId="0" applyNumberFormat="1" applyFill="1" applyBorder="1" applyAlignment="1">
      <alignment horizontal="right"/>
    </xf>
    <xf numFmtId="4" fontId="0" fillId="15" borderId="1" xfId="0" applyNumberFormat="1" applyFill="1" applyBorder="1" applyAlignment="1">
      <alignment horizontal="right"/>
    </xf>
    <xf numFmtId="4" fontId="1" fillId="16" borderId="1" xfId="0" applyNumberFormat="1" applyFont="1" applyFill="1" applyBorder="1" applyAlignment="1">
      <alignment horizontal="right"/>
    </xf>
    <xf numFmtId="0" fontId="0" fillId="14" borderId="1" xfId="0" applyFont="1" applyFill="1" applyBorder="1"/>
    <xf numFmtId="9" fontId="0" fillId="14" borderId="1" xfId="0" applyNumberFormat="1" applyFill="1" applyBorder="1"/>
    <xf numFmtId="4" fontId="1" fillId="14" borderId="1" xfId="0" applyNumberFormat="1" applyFont="1" applyFill="1" applyBorder="1"/>
    <xf numFmtId="10" fontId="1" fillId="0" borderId="1" xfId="0" applyNumberFormat="1" applyFont="1" applyBorder="1"/>
    <xf numFmtId="0" fontId="1" fillId="16" borderId="1" xfId="0" applyFont="1" applyFill="1" applyBorder="1"/>
    <xf numFmtId="4" fontId="3" fillId="7" borderId="1" xfId="0" applyNumberFormat="1" applyFont="1" applyFill="1" applyBorder="1" applyAlignment="1">
      <alignment horizontal="right"/>
    </xf>
    <xf numFmtId="1" fontId="0" fillId="3" borderId="1" xfId="0" applyNumberFormat="1" applyFill="1" applyBorder="1" applyAlignment="1">
      <alignment horizontal="right"/>
    </xf>
    <xf numFmtId="4" fontId="0" fillId="3" borderId="1" xfId="0" applyNumberFormat="1" applyFill="1" applyBorder="1" applyAlignment="1">
      <alignment horizontal="right"/>
    </xf>
    <xf numFmtId="1" fontId="7" fillId="5" borderId="1" xfId="0" applyNumberFormat="1" applyFont="1" applyFill="1" applyBorder="1" applyAlignment="1">
      <alignment horizontal="right" wrapText="1"/>
    </xf>
    <xf numFmtId="0" fontId="8" fillId="0" borderId="1" xfId="1" applyBorder="1"/>
    <xf numFmtId="9" fontId="7" fillId="5" borderId="1" xfId="0" applyNumberFormat="1" applyFont="1" applyFill="1" applyBorder="1" applyAlignment="1">
      <alignment horizontal="right" wrapText="1"/>
    </xf>
    <xf numFmtId="0" fontId="0" fillId="14" borderId="1" xfId="0" applyFill="1" applyBorder="1" applyAlignment="1">
      <alignment horizontal="right" wrapText="1"/>
    </xf>
    <xf numFmtId="0" fontId="0" fillId="5" borderId="1" xfId="0" applyFill="1" applyBorder="1" applyAlignment="1">
      <alignment horizontal="right"/>
    </xf>
    <xf numFmtId="4" fontId="0" fillId="5" borderId="1" xfId="0" applyNumberFormat="1" applyFill="1" applyBorder="1" applyAlignment="1">
      <alignment horizontal="right"/>
    </xf>
    <xf numFmtId="4" fontId="1" fillId="5" borderId="1" xfId="0" applyNumberFormat="1" applyFont="1" applyFill="1" applyBorder="1" applyAlignment="1">
      <alignment horizontal="right"/>
    </xf>
    <xf numFmtId="3" fontId="7" fillId="5" borderId="1" xfId="0" applyNumberFormat="1" applyFont="1" applyFill="1" applyBorder="1" applyAlignment="1">
      <alignment horizontal="right" wrapText="1"/>
    </xf>
    <xf numFmtId="0" fontId="1" fillId="5" borderId="1" xfId="0" applyFont="1" applyFill="1" applyBorder="1" applyAlignment="1">
      <alignment wrapText="1"/>
    </xf>
    <xf numFmtId="9" fontId="1" fillId="5" borderId="1" xfId="0" applyNumberFormat="1" applyFont="1" applyFill="1" applyBorder="1" applyAlignment="1">
      <alignment horizontal="right"/>
    </xf>
    <xf numFmtId="0" fontId="7" fillId="5" borderId="1" xfId="0" applyFont="1" applyFill="1" applyBorder="1" applyAlignment="1">
      <alignment horizontal="right" wrapText="1"/>
    </xf>
    <xf numFmtId="2" fontId="0" fillId="3" borderId="1" xfId="0" applyNumberFormat="1" applyFill="1" applyBorder="1"/>
    <xf numFmtId="4" fontId="1" fillId="5" borderId="1" xfId="0" applyNumberFormat="1" applyFont="1" applyFill="1" applyBorder="1" applyAlignment="1">
      <alignment wrapText="1"/>
    </xf>
    <xf numFmtId="3" fontId="0" fillId="13" borderId="1" xfId="0" applyNumberFormat="1" applyFill="1" applyBorder="1" applyAlignment="1">
      <alignment horizontal="right"/>
    </xf>
    <xf numFmtId="9" fontId="9" fillId="5" borderId="1" xfId="0" applyNumberFormat="1" applyFont="1" applyFill="1" applyBorder="1" applyAlignment="1">
      <alignment horizontal="right" wrapText="1"/>
    </xf>
    <xf numFmtId="4" fontId="1" fillId="3" borderId="1" xfId="0" applyNumberFormat="1" applyFont="1" applyFill="1" applyBorder="1" applyAlignment="1">
      <alignment wrapText="1"/>
    </xf>
    <xf numFmtId="4" fontId="1" fillId="14" borderId="1" xfId="0" applyNumberFormat="1" applyFont="1" applyFill="1" applyBorder="1" applyAlignment="1">
      <alignment wrapText="1"/>
    </xf>
    <xf numFmtId="2" fontId="0" fillId="14" borderId="1" xfId="0" applyNumberFormat="1" applyFont="1" applyFill="1" applyBorder="1" applyAlignment="1">
      <alignment wrapText="1"/>
    </xf>
    <xf numFmtId="0" fontId="0" fillId="10" borderId="1" xfId="0" applyFill="1" applyBorder="1" applyAlignment="1">
      <alignment horizontal="right"/>
    </xf>
    <xf numFmtId="1" fontId="7" fillId="10" borderId="1" xfId="0" applyNumberFormat="1" applyFont="1" applyFill="1" applyBorder="1" applyAlignment="1">
      <alignment horizontal="right" wrapText="1"/>
    </xf>
    <xf numFmtId="4" fontId="0" fillId="13" borderId="1" xfId="0" applyNumberFormat="1" applyFill="1" applyBorder="1" applyAlignment="1">
      <alignment horizontal="right" wrapText="1"/>
    </xf>
    <xf numFmtId="4" fontId="1" fillId="10" borderId="1" xfId="0" applyNumberFormat="1" applyFont="1" applyFill="1" applyBorder="1" applyAlignment="1">
      <alignment horizontal="right"/>
    </xf>
    <xf numFmtId="4" fontId="3" fillId="13" borderId="1" xfId="0" applyNumberFormat="1" applyFont="1" applyFill="1" applyBorder="1" applyAlignment="1">
      <alignment horizontal="right" wrapText="1"/>
    </xf>
    <xf numFmtId="4" fontId="0" fillId="13" borderId="1" xfId="0" applyNumberFormat="1" applyFill="1" applyBorder="1" applyAlignment="1">
      <alignment horizontal="right"/>
    </xf>
    <xf numFmtId="9" fontId="1" fillId="10" borderId="1" xfId="0" applyNumberFormat="1" applyFont="1" applyFill="1" applyBorder="1" applyAlignment="1">
      <alignment horizontal="right"/>
    </xf>
    <xf numFmtId="4" fontId="3" fillId="13" borderId="1" xfId="0" applyNumberFormat="1" applyFont="1" applyFill="1" applyBorder="1" applyAlignment="1">
      <alignment horizontal="right"/>
    </xf>
    <xf numFmtId="9" fontId="9" fillId="10" borderId="1" xfId="0" applyNumberFormat="1" applyFont="1" applyFill="1" applyBorder="1" applyAlignment="1">
      <alignment horizontal="right"/>
    </xf>
    <xf numFmtId="9" fontId="10" fillId="10" borderId="1" xfId="0" applyNumberFormat="1" applyFont="1" applyFill="1" applyBorder="1" applyAlignment="1">
      <alignment horizontal="right" wrapText="1"/>
    </xf>
    <xf numFmtId="4" fontId="0" fillId="0" borderId="1" xfId="0" applyNumberFormat="1" applyBorder="1" applyAlignment="1">
      <alignment wrapText="1"/>
    </xf>
    <xf numFmtId="4" fontId="3" fillId="5" borderId="1" xfId="0" applyNumberFormat="1" applyFont="1" applyFill="1" applyBorder="1" applyAlignment="1">
      <alignment horizontal="right"/>
    </xf>
    <xf numFmtId="4" fontId="3" fillId="5" borderId="1" xfId="0" applyNumberFormat="1" applyFont="1" applyFill="1" applyBorder="1" applyAlignment="1">
      <alignment wrapText="1"/>
    </xf>
    <xf numFmtId="4" fontId="3" fillId="3" borderId="1" xfId="0" applyNumberFormat="1" applyFont="1" applyFill="1" applyBorder="1" applyAlignment="1">
      <alignment wrapText="1"/>
    </xf>
    <xf numFmtId="0" fontId="6" fillId="6" borderId="1" xfId="0" applyFont="1" applyFill="1" applyBorder="1"/>
    <xf numFmtId="4" fontId="6" fillId="6" borderId="1" xfId="0" applyNumberFormat="1" applyFont="1" applyFill="1" applyBorder="1"/>
    <xf numFmtId="0" fontId="6" fillId="3" borderId="1" xfId="0" applyFont="1" applyFill="1" applyBorder="1"/>
    <xf numFmtId="4" fontId="6" fillId="3" borderId="1" xfId="0" applyNumberFormat="1" applyFont="1" applyFill="1" applyBorder="1"/>
    <xf numFmtId="0" fontId="11" fillId="7" borderId="1" xfId="0" applyFont="1" applyFill="1" applyBorder="1"/>
    <xf numFmtId="0" fontId="6" fillId="7" borderId="1" xfId="0" applyFont="1" applyFill="1" applyBorder="1"/>
    <xf numFmtId="0" fontId="0" fillId="0" borderId="1" xfId="0" applyBorder="1" applyAlignment="1">
      <alignment horizontal="left" indent="1"/>
    </xf>
    <xf numFmtId="165" fontId="0" fillId="0" borderId="1" xfId="0" applyNumberFormat="1" applyBorder="1"/>
    <xf numFmtId="0" fontId="0" fillId="0" borderId="1" xfId="0" applyNumberFormat="1" applyBorder="1"/>
    <xf numFmtId="14" fontId="0" fillId="0" borderId="1" xfId="0" applyNumberFormat="1" applyBorder="1"/>
    <xf numFmtId="2" fontId="11" fillId="7" borderId="1" xfId="0" applyNumberFormat="1" applyFont="1" applyFill="1" applyBorder="1"/>
    <xf numFmtId="0" fontId="11" fillId="3" borderId="1" xfId="0" applyFont="1" applyFill="1" applyBorder="1"/>
    <xf numFmtId="164" fontId="11" fillId="3" borderId="1" xfId="0" applyNumberFormat="1" applyFont="1" applyFill="1" applyBorder="1" applyAlignment="1">
      <alignment horizontal="right"/>
    </xf>
    <xf numFmtId="4" fontId="11" fillId="3" borderId="1" xfId="0" applyNumberFormat="1" applyFont="1" applyFill="1" applyBorder="1" applyAlignment="1">
      <alignment horizontal="right"/>
    </xf>
    <xf numFmtId="1" fontId="11" fillId="3" borderId="1" xfId="0" applyNumberFormat="1" applyFont="1" applyFill="1" applyBorder="1" applyAlignment="1">
      <alignment horizontal="right"/>
    </xf>
    <xf numFmtId="9" fontId="11" fillId="3" borderId="1" xfId="0" applyNumberFormat="1" applyFont="1" applyFill="1" applyBorder="1"/>
    <xf numFmtId="2" fontId="11" fillId="3" borderId="1" xfId="0" applyNumberFormat="1" applyFont="1" applyFill="1" applyBorder="1"/>
    <xf numFmtId="10" fontId="6" fillId="3" borderId="1" xfId="0" applyNumberFormat="1" applyFont="1" applyFill="1" applyBorder="1" applyAlignment="1">
      <alignment horizontal="right"/>
    </xf>
    <xf numFmtId="4" fontId="6" fillId="3" borderId="1" xfId="0" applyNumberFormat="1" applyFont="1" applyFill="1" applyBorder="1" applyAlignment="1">
      <alignment horizontal="right"/>
    </xf>
    <xf numFmtId="1" fontId="6" fillId="3" borderId="1" xfId="0" applyNumberFormat="1" applyFont="1" applyFill="1" applyBorder="1" applyAlignment="1">
      <alignment horizontal="right"/>
    </xf>
    <xf numFmtId="9" fontId="6" fillId="3" borderId="1" xfId="0" applyNumberFormat="1" applyFont="1" applyFill="1" applyBorder="1"/>
    <xf numFmtId="9" fontId="6" fillId="13" borderId="1" xfId="0" applyNumberFormat="1" applyFont="1" applyFill="1" applyBorder="1" applyAlignment="1">
      <alignment horizontal="right"/>
    </xf>
    <xf numFmtId="4" fontId="6" fillId="13" borderId="1" xfId="0" applyNumberFormat="1" applyFont="1" applyFill="1" applyBorder="1" applyAlignment="1">
      <alignment horizontal="right"/>
    </xf>
    <xf numFmtId="0" fontId="6" fillId="0" borderId="1" xfId="0" applyFont="1" applyFill="1" applyBorder="1"/>
    <xf numFmtId="0" fontId="6" fillId="8" borderId="1" xfId="0" applyFont="1" applyFill="1" applyBorder="1"/>
    <xf numFmtId="1" fontId="0" fillId="11" borderId="1" xfId="0" applyNumberFormat="1" applyFill="1" applyBorder="1" applyAlignment="1">
      <alignment horizontal="right"/>
    </xf>
    <xf numFmtId="9" fontId="0" fillId="11" borderId="1" xfId="0" applyNumberFormat="1" applyFill="1" applyBorder="1" applyAlignment="1">
      <alignment horizontal="right"/>
    </xf>
    <xf numFmtId="4" fontId="1" fillId="11" borderId="1" xfId="0" applyNumberFormat="1" applyFont="1" applyFill="1" applyBorder="1" applyAlignment="1">
      <alignment horizontal="right"/>
    </xf>
    <xf numFmtId="4" fontId="0" fillId="11" borderId="1" xfId="0" applyNumberFormat="1" applyFill="1" applyBorder="1" applyAlignment="1">
      <alignment horizontal="right"/>
    </xf>
    <xf numFmtId="0" fontId="0" fillId="0" borderId="2" xfId="0" applyBorder="1"/>
    <xf numFmtId="0" fontId="0" fillId="0" borderId="2" xfId="0" applyFill="1" applyBorder="1"/>
    <xf numFmtId="0" fontId="0" fillId="0" borderId="3" xfId="0" applyBorder="1"/>
    <xf numFmtId="0" fontId="0" fillId="0" borderId="4" xfId="0" applyBorder="1"/>
    <xf numFmtId="2" fontId="6" fillId="3" borderId="1" xfId="0" applyNumberFormat="1" applyFont="1" applyFill="1" applyBorder="1"/>
    <xf numFmtId="4" fontId="12" fillId="13" borderId="1" xfId="0" applyNumberFormat="1" applyFont="1" applyFill="1" applyBorder="1" applyAlignment="1">
      <alignment horizontal="right"/>
    </xf>
    <xf numFmtId="4" fontId="13" fillId="11" borderId="1" xfId="0" applyNumberFormat="1" applyFont="1" applyFill="1" applyBorder="1" applyAlignment="1">
      <alignment horizontal="right"/>
    </xf>
    <xf numFmtId="9" fontId="6" fillId="5" borderId="1" xfId="0" applyNumberFormat="1" applyFont="1" applyFill="1" applyBorder="1" applyAlignment="1">
      <alignment horizontal="right"/>
    </xf>
    <xf numFmtId="0" fontId="5" fillId="0" borderId="1" xfId="0" applyFont="1" applyBorder="1"/>
    <xf numFmtId="10" fontId="0" fillId="7" borderId="1" xfId="0" applyNumberFormat="1" applyFill="1" applyBorder="1"/>
    <xf numFmtId="0" fontId="13" fillId="0" borderId="0" xfId="1" applyFont="1"/>
    <xf numFmtId="165" fontId="1" fillId="0" borderId="1" xfId="0" applyNumberFormat="1" applyFont="1" applyBorder="1"/>
    <xf numFmtId="0" fontId="2" fillId="18" borderId="1" xfId="0" applyFont="1" applyFill="1" applyBorder="1" applyAlignment="1">
      <alignment horizontal="left"/>
    </xf>
    <xf numFmtId="0" fontId="0" fillId="18" borderId="1" xfId="0" applyFill="1" applyBorder="1"/>
    <xf numFmtId="0" fontId="0" fillId="12" borderId="1" xfId="0" applyFont="1" applyFill="1" applyBorder="1" applyAlignment="1">
      <alignment horizontal="left"/>
    </xf>
    <xf numFmtId="10" fontId="0" fillId="3" borderId="1" xfId="0" applyNumberFormat="1" applyFill="1" applyBorder="1"/>
    <xf numFmtId="10" fontId="0" fillId="13" borderId="1" xfId="0" applyNumberFormat="1" applyFill="1" applyBorder="1" applyAlignment="1">
      <alignment horizontal="right"/>
    </xf>
    <xf numFmtId="10" fontId="0" fillId="12" borderId="1" xfId="0" applyNumberFormat="1" applyFill="1" applyBorder="1"/>
    <xf numFmtId="2" fontId="0" fillId="15" borderId="1" xfId="0" applyNumberFormat="1" applyFill="1" applyBorder="1" applyAlignment="1">
      <alignment horizontal="right"/>
    </xf>
    <xf numFmtId="9" fontId="6" fillId="6" borderId="1" xfId="0" applyNumberFormat="1" applyFont="1" applyFill="1" applyBorder="1"/>
    <xf numFmtId="4" fontId="1" fillId="11" borderId="1" xfId="0" applyNumberFormat="1" applyFont="1" applyFill="1" applyBorder="1"/>
    <xf numFmtId="4" fontId="0" fillId="7" borderId="3" xfId="0" applyNumberFormat="1" applyFill="1" applyBorder="1"/>
    <xf numFmtId="4" fontId="0" fillId="8" borderId="1" xfId="0" applyNumberFormat="1" applyFill="1" applyBorder="1" applyAlignment="1">
      <alignment wrapText="1"/>
    </xf>
    <xf numFmtId="4" fontId="14" fillId="7" borderId="1" xfId="0" applyNumberFormat="1" applyFont="1" applyFill="1" applyBorder="1"/>
    <xf numFmtId="4" fontId="0" fillId="14" borderId="1" xfId="0" applyNumberFormat="1" applyFill="1" applyBorder="1"/>
    <xf numFmtId="2" fontId="0" fillId="7" borderId="3" xfId="0" applyNumberFormat="1" applyFill="1" applyBorder="1"/>
    <xf numFmtId="9" fontId="1" fillId="12" borderId="1" xfId="0" applyNumberFormat="1" applyFont="1" applyFill="1" applyBorder="1" applyAlignment="1">
      <alignment horizontal="right"/>
    </xf>
    <xf numFmtId="4" fontId="0" fillId="5" borderId="1" xfId="0" applyNumberFormat="1" applyFill="1" applyBorder="1"/>
    <xf numFmtId="9" fontId="2" fillId="5" borderId="1" xfId="0" applyNumberFormat="1" applyFont="1" applyFill="1" applyBorder="1"/>
    <xf numFmtId="4" fontId="0" fillId="3" borderId="1" xfId="0" applyNumberFormat="1" applyFill="1" applyBorder="1"/>
    <xf numFmtId="4" fontId="0" fillId="6" borderId="1" xfId="0" applyNumberFormat="1" applyFill="1" applyBorder="1"/>
    <xf numFmtId="0" fontId="1" fillId="12" borderId="1" xfId="0" applyFont="1" applyFill="1" applyBorder="1" applyAlignment="1">
      <alignment horizontal="center"/>
    </xf>
    <xf numFmtId="4" fontId="1" fillId="8" borderId="1" xfId="0" applyNumberFormat="1" applyFont="1" applyFill="1" applyBorder="1" applyAlignment="1"/>
    <xf numFmtId="4" fontId="13" fillId="8" borderId="1" xfId="0" applyNumberFormat="1" applyFont="1" applyFill="1" applyBorder="1"/>
    <xf numFmtId="0" fontId="13" fillId="8" borderId="1" xfId="0" applyFont="1" applyFill="1" applyBorder="1"/>
    <xf numFmtId="0" fontId="0" fillId="0" borderId="1" xfId="0" applyFont="1" applyBorder="1" applyAlignment="1">
      <alignment horizontal="right"/>
    </xf>
    <xf numFmtId="4" fontId="0" fillId="0" borderId="1" xfId="0" applyNumberFormat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9"/>
  <sheetViews>
    <sheetView tabSelected="1" topLeftCell="A70" zoomScale="90" zoomScaleNormal="90" workbookViewId="0">
      <selection activeCell="H138" sqref="H138"/>
    </sheetView>
  </sheetViews>
  <sheetFormatPr baseColWidth="10" defaultColWidth="11.42578125" defaultRowHeight="15" x14ac:dyDescent="0.25"/>
  <cols>
    <col min="1" max="1" width="2.5703125" style="2" customWidth="1"/>
    <col min="2" max="2" width="43.28515625" style="2" customWidth="1"/>
    <col min="3" max="3" width="26.140625" style="2" customWidth="1"/>
    <col min="4" max="4" width="17.5703125" style="2" customWidth="1"/>
    <col min="5" max="5" width="30.42578125" style="2" customWidth="1"/>
    <col min="6" max="6" width="28.85546875" style="2" customWidth="1"/>
    <col min="7" max="7" width="37.7109375" style="2" customWidth="1"/>
    <col min="8" max="8" width="36.5703125" style="2" customWidth="1"/>
    <col min="9" max="9" width="15.5703125" style="2" customWidth="1"/>
    <col min="10" max="10" width="19.140625" style="2" customWidth="1"/>
    <col min="11" max="13" width="17.85546875" style="2" customWidth="1"/>
    <col min="14" max="14" width="21.140625" style="2" customWidth="1"/>
    <col min="15" max="15" width="24.85546875" style="2" customWidth="1"/>
    <col min="16" max="17" width="11.42578125" style="2"/>
    <col min="18" max="18" width="15.28515625" style="2" customWidth="1"/>
    <col min="19" max="16384" width="11.42578125" style="2"/>
  </cols>
  <sheetData>
    <row r="1" spans="1:19" ht="21" x14ac:dyDescent="0.35">
      <c r="B1" s="170" t="s">
        <v>99</v>
      </c>
    </row>
    <row r="2" spans="1:19" ht="21" x14ac:dyDescent="0.35">
      <c r="B2" s="73"/>
      <c r="C2" s="74"/>
      <c r="D2" s="74"/>
      <c r="E2" s="74"/>
      <c r="F2" s="74"/>
      <c r="G2" s="74"/>
      <c r="H2" s="75"/>
      <c r="I2" s="74"/>
      <c r="J2" s="74"/>
      <c r="L2" s="164"/>
      <c r="M2" s="164"/>
      <c r="N2" s="164"/>
      <c r="O2" s="164"/>
      <c r="P2" s="164"/>
      <c r="Q2" s="164"/>
      <c r="R2" s="164"/>
    </row>
    <row r="3" spans="1:19" ht="44.1" customHeight="1" x14ac:dyDescent="0.25">
      <c r="B3" s="58" t="s">
        <v>11</v>
      </c>
      <c r="C3" s="65" t="s">
        <v>53</v>
      </c>
      <c r="D3" s="104"/>
      <c r="E3" s="65" t="s">
        <v>104</v>
      </c>
      <c r="F3" s="65" t="s">
        <v>105</v>
      </c>
      <c r="G3" s="65" t="s">
        <v>106</v>
      </c>
      <c r="H3" s="65" t="s">
        <v>107</v>
      </c>
      <c r="I3" s="59"/>
      <c r="J3" s="59"/>
      <c r="K3" s="162"/>
      <c r="S3" s="165"/>
    </row>
    <row r="4" spans="1:19" x14ac:dyDescent="0.25">
      <c r="B4" s="137"/>
      <c r="C4" s="143"/>
      <c r="D4" s="16"/>
      <c r="E4" s="187"/>
      <c r="F4" s="183"/>
      <c r="G4" s="183"/>
      <c r="H4" s="183"/>
      <c r="I4" s="16"/>
      <c r="J4" s="16"/>
      <c r="K4" s="163"/>
      <c r="L4" s="52"/>
      <c r="M4" s="141"/>
      <c r="N4" s="141"/>
      <c r="O4" s="141"/>
      <c r="P4" s="141"/>
      <c r="S4" s="165"/>
    </row>
    <row r="5" spans="1:19" x14ac:dyDescent="0.25">
      <c r="B5" s="138" t="s">
        <v>103</v>
      </c>
      <c r="C5" s="171">
        <v>1</v>
      </c>
      <c r="D5" s="16"/>
      <c r="E5" s="16">
        <v>53422.68</v>
      </c>
      <c r="F5" s="16">
        <v>54352.07</v>
      </c>
      <c r="G5" s="16">
        <v>55208.24</v>
      </c>
      <c r="H5" s="16">
        <v>57414.67</v>
      </c>
      <c r="I5" s="16"/>
      <c r="J5" s="16"/>
      <c r="K5" s="9"/>
      <c r="L5" s="139"/>
      <c r="M5" s="140"/>
      <c r="N5" s="140"/>
      <c r="O5" s="140"/>
      <c r="P5" s="141"/>
      <c r="Q5" s="142"/>
      <c r="S5" s="165"/>
    </row>
    <row r="6" spans="1:19" x14ac:dyDescent="0.25">
      <c r="B6" s="138" t="s">
        <v>89</v>
      </c>
      <c r="C6" s="171">
        <v>1</v>
      </c>
      <c r="D6" s="16"/>
      <c r="E6" s="16">
        <v>44806.61</v>
      </c>
      <c r="F6" s="16">
        <v>45730.13</v>
      </c>
      <c r="G6" s="185">
        <v>46579.23</v>
      </c>
      <c r="H6" s="185">
        <v>48777.22</v>
      </c>
      <c r="I6" s="16"/>
      <c r="J6" s="16"/>
      <c r="K6" s="9"/>
      <c r="L6" s="139"/>
      <c r="M6" s="140"/>
      <c r="N6" s="140"/>
      <c r="O6" s="140"/>
      <c r="P6" s="141"/>
      <c r="Q6" s="142"/>
    </row>
    <row r="7" spans="1:19" x14ac:dyDescent="0.25">
      <c r="B7" s="138" t="s">
        <v>124</v>
      </c>
      <c r="C7" s="171">
        <v>1</v>
      </c>
      <c r="D7" s="16"/>
      <c r="E7" s="16">
        <v>40524.959999999999</v>
      </c>
      <c r="F7" s="16">
        <v>41401.75</v>
      </c>
      <c r="G7" s="185">
        <v>42245.24</v>
      </c>
      <c r="H7" s="185">
        <v>44331.47</v>
      </c>
      <c r="I7" s="16"/>
      <c r="J7" s="16"/>
      <c r="K7" s="9"/>
      <c r="L7" s="139"/>
      <c r="M7" s="140"/>
      <c r="N7" s="140"/>
      <c r="O7" s="140"/>
      <c r="P7" s="141"/>
      <c r="Q7" s="142"/>
    </row>
    <row r="8" spans="1:19" x14ac:dyDescent="0.25">
      <c r="B8" s="138" t="s">
        <v>124</v>
      </c>
      <c r="C8" s="171">
        <v>1</v>
      </c>
      <c r="D8" s="16"/>
      <c r="E8" s="16">
        <v>40524.959999999999</v>
      </c>
      <c r="F8" s="16">
        <v>41401.75</v>
      </c>
      <c r="G8" s="185">
        <v>42245.24</v>
      </c>
      <c r="H8" s="185">
        <v>44331.47</v>
      </c>
      <c r="I8" s="16"/>
      <c r="J8" s="16"/>
      <c r="K8" s="9"/>
      <c r="L8" s="139"/>
      <c r="M8" s="140"/>
      <c r="N8" s="140"/>
      <c r="O8" s="140"/>
      <c r="P8" s="141"/>
      <c r="Q8" s="142"/>
    </row>
    <row r="9" spans="1:19" x14ac:dyDescent="0.25">
      <c r="B9" s="138" t="s">
        <v>52</v>
      </c>
      <c r="C9" s="171">
        <v>1</v>
      </c>
      <c r="D9" s="16"/>
      <c r="E9" s="16">
        <v>33386.449999999997</v>
      </c>
      <c r="F9" s="16">
        <v>34133.15</v>
      </c>
      <c r="G9" s="185">
        <v>34918.39</v>
      </c>
      <c r="H9" s="185">
        <v>36730.69</v>
      </c>
      <c r="I9" s="16"/>
      <c r="J9" s="16"/>
      <c r="K9" s="9"/>
      <c r="L9" s="139"/>
      <c r="M9" s="140"/>
      <c r="N9" s="140"/>
      <c r="O9" s="140"/>
      <c r="P9" s="141"/>
      <c r="Q9" s="142"/>
    </row>
    <row r="10" spans="1:19" x14ac:dyDescent="0.25">
      <c r="A10" s="24"/>
      <c r="B10" s="14" t="s">
        <v>100</v>
      </c>
      <c r="C10" s="171"/>
      <c r="D10" s="16"/>
      <c r="E10" s="16">
        <v>10983.41</v>
      </c>
      <c r="F10" s="16">
        <v>11042.82</v>
      </c>
      <c r="G10" s="16">
        <v>11923.58</v>
      </c>
      <c r="H10" s="16">
        <v>12376.84</v>
      </c>
      <c r="I10" s="98"/>
      <c r="J10" s="16"/>
      <c r="K10" s="9"/>
    </row>
    <row r="11" spans="1:19" x14ac:dyDescent="0.25">
      <c r="A11" s="24"/>
      <c r="B11" s="14" t="s">
        <v>90</v>
      </c>
      <c r="C11" s="171">
        <v>0.05</v>
      </c>
      <c r="D11" s="16"/>
      <c r="E11" s="16">
        <f>(E5+E6+E7+E8+E9)*C11</f>
        <v>10633.282999999999</v>
      </c>
      <c r="F11" s="16">
        <f>(F5+F6+F7+F8+F9)*C11</f>
        <v>10850.942500000001</v>
      </c>
      <c r="G11" s="16">
        <f>(G5+G6+G7+G8+G9)*C11</f>
        <v>11059.816999999999</v>
      </c>
      <c r="H11" s="16">
        <f>(H5+H6+H7+H8+H9)*C11</f>
        <v>11579.276</v>
      </c>
      <c r="I11" s="98"/>
      <c r="J11" s="16"/>
      <c r="K11" s="9"/>
    </row>
    <row r="12" spans="1:19" x14ac:dyDescent="0.25">
      <c r="A12" s="24"/>
      <c r="B12" s="176"/>
      <c r="C12" s="179"/>
      <c r="D12" s="50"/>
      <c r="E12" s="49"/>
      <c r="F12" s="50"/>
      <c r="G12" s="49"/>
      <c r="H12" s="63"/>
      <c r="I12" s="81"/>
      <c r="J12" s="63"/>
    </row>
    <row r="13" spans="1:19" x14ac:dyDescent="0.25">
      <c r="A13" s="24"/>
      <c r="B13" s="80"/>
      <c r="C13" s="78"/>
      <c r="D13" s="50"/>
      <c r="E13" s="49"/>
      <c r="F13" s="49"/>
      <c r="G13" s="49"/>
      <c r="H13" s="63"/>
      <c r="I13" s="81"/>
      <c r="J13" s="63"/>
    </row>
    <row r="14" spans="1:19" x14ac:dyDescent="0.25">
      <c r="A14" s="24"/>
      <c r="B14" s="48" t="s">
        <v>10</v>
      </c>
      <c r="C14" s="49"/>
      <c r="D14" s="50"/>
      <c r="E14" s="51">
        <f>SUM(E5:E13)</f>
        <v>234282.35299999997</v>
      </c>
      <c r="F14" s="51">
        <f>SUM(F5:F13)</f>
        <v>238912.61250000002</v>
      </c>
      <c r="G14" s="51">
        <f>SUM(G5:G13)</f>
        <v>244179.73699999996</v>
      </c>
      <c r="H14" s="51">
        <f>SUM(H5:H11)</f>
        <v>255541.636</v>
      </c>
      <c r="I14" s="76"/>
      <c r="J14" s="51"/>
    </row>
    <row r="15" spans="1:19" x14ac:dyDescent="0.25">
      <c r="H15" s="3"/>
    </row>
    <row r="16" spans="1:19" x14ac:dyDescent="0.25">
      <c r="A16" s="24"/>
      <c r="B16" s="41" t="s">
        <v>13</v>
      </c>
      <c r="C16" s="62"/>
      <c r="D16" s="62"/>
      <c r="E16" s="62"/>
      <c r="F16" s="62"/>
      <c r="G16" s="62"/>
      <c r="H16" s="62"/>
      <c r="I16" s="77" t="s">
        <v>1</v>
      </c>
      <c r="J16" s="62"/>
    </row>
    <row r="17" spans="1:13" x14ac:dyDescent="0.25">
      <c r="A17" s="24"/>
      <c r="B17" s="43" t="s">
        <v>76</v>
      </c>
      <c r="C17" s="44"/>
      <c r="D17" s="44"/>
      <c r="E17" s="44"/>
      <c r="F17" s="44"/>
      <c r="G17" s="44"/>
      <c r="H17" s="45">
        <v>16000</v>
      </c>
      <c r="I17" s="53">
        <v>0.1</v>
      </c>
      <c r="J17" s="46">
        <f>H17*I17</f>
        <v>1600</v>
      </c>
    </row>
    <row r="18" spans="1:13" x14ac:dyDescent="0.25">
      <c r="A18" s="24"/>
      <c r="B18" s="43" t="s">
        <v>36</v>
      </c>
      <c r="C18" s="6"/>
      <c r="D18" s="6"/>
      <c r="E18" s="6"/>
      <c r="F18" s="6"/>
      <c r="G18" s="6"/>
      <c r="H18" s="47">
        <v>9500</v>
      </c>
      <c r="I18" s="54">
        <v>0.21</v>
      </c>
      <c r="J18" s="46">
        <f>H18*I18</f>
        <v>1995</v>
      </c>
    </row>
    <row r="19" spans="1:13" x14ac:dyDescent="0.25">
      <c r="A19" s="24"/>
      <c r="B19" s="41" t="s">
        <v>35</v>
      </c>
      <c r="C19" s="42"/>
      <c r="D19" s="42"/>
      <c r="E19" s="42"/>
      <c r="F19" s="42"/>
      <c r="G19" s="42"/>
      <c r="H19" s="182">
        <f>SUM(H17:H18)</f>
        <v>25500</v>
      </c>
      <c r="I19" s="42"/>
      <c r="J19" s="64"/>
    </row>
    <row r="20" spans="1:13" s="9" customFormat="1" x14ac:dyDescent="0.25">
      <c r="B20" s="20"/>
      <c r="C20" s="17"/>
      <c r="D20" s="17"/>
      <c r="E20" s="17"/>
      <c r="F20" s="17"/>
      <c r="G20" s="17"/>
      <c r="H20" s="32"/>
      <c r="I20" s="17"/>
      <c r="J20" s="69"/>
    </row>
    <row r="21" spans="1:13" ht="38.25" customHeight="1" x14ac:dyDescent="0.25">
      <c r="A21" s="24"/>
      <c r="B21" s="109" t="s">
        <v>75</v>
      </c>
      <c r="C21" s="66" t="s">
        <v>0</v>
      </c>
      <c r="D21" s="101" t="s">
        <v>82</v>
      </c>
      <c r="E21" s="66"/>
      <c r="F21" s="103" t="s">
        <v>32</v>
      </c>
      <c r="G21" s="105" t="s">
        <v>31</v>
      </c>
      <c r="H21" s="110" t="s">
        <v>33</v>
      </c>
      <c r="I21" s="108" t="s">
        <v>83</v>
      </c>
      <c r="J21" s="115" t="s">
        <v>87</v>
      </c>
      <c r="K21" s="111" t="s">
        <v>34</v>
      </c>
      <c r="L21" s="60" t="s">
        <v>67</v>
      </c>
      <c r="M21" s="7" t="s">
        <v>37</v>
      </c>
    </row>
    <row r="22" spans="1:13" x14ac:dyDescent="0.25">
      <c r="A22" s="24"/>
      <c r="B22" s="144"/>
      <c r="C22" s="145"/>
      <c r="D22" s="146"/>
      <c r="E22" s="146"/>
      <c r="F22" s="147"/>
      <c r="G22" s="148"/>
      <c r="H22" s="146"/>
      <c r="I22" s="146"/>
      <c r="J22" s="146"/>
      <c r="K22" s="144"/>
      <c r="L22" s="149"/>
      <c r="M22" s="149"/>
    </row>
    <row r="23" spans="1:13" x14ac:dyDescent="0.25">
      <c r="A23" s="24"/>
      <c r="B23" s="144"/>
      <c r="C23" s="145"/>
      <c r="D23" s="146"/>
      <c r="E23" s="146"/>
      <c r="F23" s="147"/>
      <c r="G23" s="148"/>
      <c r="H23" s="146"/>
      <c r="I23" s="146"/>
      <c r="J23" s="151"/>
      <c r="K23" s="144"/>
      <c r="L23" s="149"/>
      <c r="M23" s="149"/>
    </row>
    <row r="24" spans="1:13" x14ac:dyDescent="0.25">
      <c r="A24" s="24"/>
      <c r="B24" s="8" t="s">
        <v>91</v>
      </c>
      <c r="C24" s="67">
        <v>1</v>
      </c>
      <c r="D24" s="100">
        <v>30000</v>
      </c>
      <c r="E24" s="100">
        <f>D24*C24</f>
        <v>30000</v>
      </c>
      <c r="F24" s="99">
        <v>6</v>
      </c>
      <c r="G24" s="177">
        <v>0.1666</v>
      </c>
      <c r="H24" s="100">
        <f>E24*G24</f>
        <v>4998</v>
      </c>
      <c r="I24" s="100">
        <v>12</v>
      </c>
      <c r="J24" s="151">
        <f>(10*(I24/100)*1.5*C24)*253</f>
        <v>455.4</v>
      </c>
      <c r="K24" s="8">
        <v>1000</v>
      </c>
      <c r="L24" s="166">
        <f>C24*K24</f>
        <v>1000</v>
      </c>
      <c r="M24" s="112">
        <f>C24*600</f>
        <v>600</v>
      </c>
    </row>
    <row r="25" spans="1:13" x14ac:dyDescent="0.25">
      <c r="A25" s="24"/>
      <c r="B25" s="8" t="s">
        <v>62</v>
      </c>
      <c r="C25" s="67">
        <v>1</v>
      </c>
      <c r="D25" s="151">
        <v>20000</v>
      </c>
      <c r="E25" s="100">
        <f>D25*C25</f>
        <v>20000</v>
      </c>
      <c r="F25" s="99">
        <v>6</v>
      </c>
      <c r="G25" s="177">
        <v>0.1666</v>
      </c>
      <c r="H25" s="100">
        <f>E25*G25</f>
        <v>3332</v>
      </c>
      <c r="I25" s="100">
        <v>7</v>
      </c>
      <c r="J25" s="151">
        <f>(10*(I25/100)*1.5*C25)*253</f>
        <v>265.65000000000003</v>
      </c>
      <c r="K25" s="8">
        <v>600</v>
      </c>
      <c r="L25" s="166">
        <f>C25*K25</f>
        <v>600</v>
      </c>
      <c r="M25" s="112">
        <v>400</v>
      </c>
    </row>
    <row r="26" spans="1:13" x14ac:dyDescent="0.25">
      <c r="A26" s="24"/>
      <c r="B26" s="8" t="s">
        <v>63</v>
      </c>
      <c r="C26" s="67">
        <v>1</v>
      </c>
      <c r="D26" s="151">
        <v>20000</v>
      </c>
      <c r="E26" s="100">
        <f>D26*C26</f>
        <v>20000</v>
      </c>
      <c r="F26" s="99">
        <v>6</v>
      </c>
      <c r="G26" s="177">
        <v>0.1666</v>
      </c>
      <c r="H26" s="100">
        <f>E26*G26</f>
        <v>3332</v>
      </c>
      <c r="I26" s="100">
        <v>7</v>
      </c>
      <c r="J26" s="151">
        <f>(10*(I26/100)*1.5*C26)*253</f>
        <v>265.65000000000003</v>
      </c>
      <c r="K26" s="8">
        <v>600</v>
      </c>
      <c r="L26" s="166">
        <f>C26*K26</f>
        <v>600</v>
      </c>
      <c r="M26" s="112">
        <v>400</v>
      </c>
    </row>
    <row r="27" spans="1:13" s="156" customFormat="1" x14ac:dyDescent="0.25">
      <c r="B27" s="135" t="s">
        <v>88</v>
      </c>
      <c r="C27" s="150">
        <v>0.1</v>
      </c>
      <c r="D27" s="151">
        <v>6000</v>
      </c>
      <c r="E27" s="151">
        <f>D27*C27</f>
        <v>600</v>
      </c>
      <c r="F27" s="152">
        <v>6</v>
      </c>
      <c r="G27" s="177">
        <v>0.1666</v>
      </c>
      <c r="H27" s="151">
        <f>E27*G27</f>
        <v>99.96</v>
      </c>
      <c r="I27" s="151">
        <v>6.5</v>
      </c>
      <c r="J27" s="151">
        <f>(10*(I27/100)*1.5*C27)*253</f>
        <v>24.667500000000004</v>
      </c>
      <c r="K27" s="135">
        <v>500</v>
      </c>
      <c r="L27" s="166">
        <f>C27*K27</f>
        <v>50</v>
      </c>
      <c r="M27" s="112">
        <f>C27*300</f>
        <v>30</v>
      </c>
    </row>
    <row r="28" spans="1:13" x14ac:dyDescent="0.25">
      <c r="A28" s="24"/>
      <c r="B28" s="61"/>
      <c r="C28" s="66"/>
      <c r="D28" s="82"/>
      <c r="E28" s="66"/>
      <c r="F28" s="66"/>
      <c r="G28" s="66"/>
      <c r="H28" s="130">
        <f>SUM(H24:H27)</f>
        <v>11761.96</v>
      </c>
      <c r="I28" s="106"/>
      <c r="J28" s="130">
        <f>SUM(J24:J27)</f>
        <v>1011.3675000000001</v>
      </c>
      <c r="K28" s="61"/>
      <c r="L28" s="131">
        <f>SUM(L22:L27)</f>
        <v>2250</v>
      </c>
      <c r="M28" s="132">
        <f>SUM(M24:M27)</f>
        <v>1430</v>
      </c>
    </row>
    <row r="29" spans="1:13" x14ac:dyDescent="0.25">
      <c r="A29" s="24"/>
      <c r="B29" s="60" t="s">
        <v>65</v>
      </c>
      <c r="C29" s="66"/>
      <c r="D29" s="82"/>
      <c r="E29" s="66"/>
      <c r="F29" s="66"/>
      <c r="G29" s="66"/>
      <c r="H29" s="107">
        <f>H28+J28+L28+M28</f>
        <v>16453.327499999999</v>
      </c>
      <c r="I29" s="106"/>
      <c r="J29" s="107"/>
      <c r="K29" s="61"/>
      <c r="L29" s="113"/>
      <c r="M29" s="116"/>
    </row>
    <row r="30" spans="1:13" x14ac:dyDescent="0.25">
      <c r="A30" s="24"/>
      <c r="B30" s="61"/>
      <c r="C30" s="66"/>
      <c r="D30" s="82"/>
      <c r="E30" s="66"/>
      <c r="F30" s="66"/>
      <c r="G30" s="66"/>
      <c r="H30" s="107"/>
      <c r="I30" s="106"/>
      <c r="J30" s="107"/>
      <c r="K30" s="61"/>
      <c r="L30" s="113"/>
      <c r="M30" s="116"/>
    </row>
    <row r="31" spans="1:13" s="9" customFormat="1" x14ac:dyDescent="0.25">
      <c r="C31" s="70"/>
      <c r="D31" s="70"/>
      <c r="E31" s="70"/>
      <c r="F31" s="70"/>
      <c r="G31" s="70"/>
      <c r="H31" s="70"/>
      <c r="I31" s="70"/>
      <c r="J31" s="70"/>
    </row>
    <row r="32" spans="1:13" s="9" customFormat="1" ht="24.75" x14ac:dyDescent="0.25">
      <c r="B32" s="38" t="s">
        <v>12</v>
      </c>
      <c r="C32" s="83" t="s">
        <v>0</v>
      </c>
      <c r="D32" s="83"/>
      <c r="E32" s="119" t="s">
        <v>39</v>
      </c>
      <c r="F32" s="120" t="s">
        <v>40</v>
      </c>
      <c r="G32" s="83" t="s">
        <v>31</v>
      </c>
      <c r="H32" s="125" t="s">
        <v>33</v>
      </c>
      <c r="I32" s="128" t="s">
        <v>46</v>
      </c>
      <c r="J32" s="127" t="s">
        <v>64</v>
      </c>
    </row>
    <row r="33" spans="2:10" s="9" customFormat="1" x14ac:dyDescent="0.25">
      <c r="B33" s="57" t="s">
        <v>56</v>
      </c>
      <c r="C33" s="85">
        <v>1</v>
      </c>
      <c r="D33" s="124">
        <v>700</v>
      </c>
      <c r="E33" s="57">
        <v>3</v>
      </c>
      <c r="F33" s="114">
        <v>5</v>
      </c>
      <c r="G33" s="178">
        <v>0.2</v>
      </c>
      <c r="H33" s="124">
        <f>(D33*E33)*G33*C33</f>
        <v>420</v>
      </c>
      <c r="I33" s="155">
        <f>(D33*E33)*0.1</f>
        <v>210</v>
      </c>
      <c r="J33" s="85"/>
    </row>
    <row r="34" spans="2:10" s="9" customFormat="1" x14ac:dyDescent="0.25">
      <c r="B34" s="57" t="s">
        <v>42</v>
      </c>
      <c r="C34" s="85">
        <v>1</v>
      </c>
      <c r="D34" s="124">
        <v>750</v>
      </c>
      <c r="E34" s="57">
        <v>1</v>
      </c>
      <c r="F34" s="114">
        <v>5</v>
      </c>
      <c r="G34" s="178">
        <v>0.2</v>
      </c>
      <c r="H34" s="124">
        <f>(D34*E34)*G34*C34</f>
        <v>150</v>
      </c>
      <c r="I34" s="155">
        <f t="shared" ref="I34:I50" si="0">(D34*E34)*0.1</f>
        <v>75</v>
      </c>
      <c r="J34" s="85"/>
    </row>
    <row r="35" spans="2:10" s="9" customFormat="1" x14ac:dyDescent="0.25">
      <c r="B35" s="57" t="s">
        <v>43</v>
      </c>
      <c r="C35" s="85">
        <v>1</v>
      </c>
      <c r="D35" s="124">
        <v>600</v>
      </c>
      <c r="E35" s="57">
        <v>3</v>
      </c>
      <c r="F35" s="114">
        <v>5</v>
      </c>
      <c r="G35" s="178">
        <v>0.2</v>
      </c>
      <c r="H35" s="124">
        <f t="shared" ref="H35:H50" si="1">(D35*E35)*G35*C35</f>
        <v>360</v>
      </c>
      <c r="I35" s="155">
        <f t="shared" si="0"/>
        <v>180</v>
      </c>
      <c r="J35" s="85"/>
    </row>
    <row r="36" spans="2:10" s="9" customFormat="1" x14ac:dyDescent="0.25">
      <c r="B36" s="57" t="s">
        <v>18</v>
      </c>
      <c r="C36" s="85">
        <v>1</v>
      </c>
      <c r="D36" s="124">
        <v>350</v>
      </c>
      <c r="E36" s="57">
        <v>3</v>
      </c>
      <c r="F36" s="114">
        <v>5</v>
      </c>
      <c r="G36" s="178">
        <v>0.2</v>
      </c>
      <c r="H36" s="124">
        <f t="shared" si="1"/>
        <v>210</v>
      </c>
      <c r="I36" s="155">
        <f t="shared" si="0"/>
        <v>105</v>
      </c>
      <c r="J36" s="85"/>
    </row>
    <row r="37" spans="2:10" s="9" customFormat="1" x14ac:dyDescent="0.25">
      <c r="B37" s="57" t="s">
        <v>44</v>
      </c>
      <c r="C37" s="85">
        <v>1</v>
      </c>
      <c r="D37" s="155">
        <v>600</v>
      </c>
      <c r="E37" s="57">
        <v>3</v>
      </c>
      <c r="F37" s="114">
        <v>5</v>
      </c>
      <c r="G37" s="178">
        <v>0.2</v>
      </c>
      <c r="H37" s="124">
        <f t="shared" si="1"/>
        <v>360</v>
      </c>
      <c r="I37" s="155">
        <f t="shared" si="0"/>
        <v>180</v>
      </c>
      <c r="J37" s="85"/>
    </row>
    <row r="38" spans="2:10" s="9" customFormat="1" x14ac:dyDescent="0.25">
      <c r="B38" s="57" t="s">
        <v>93</v>
      </c>
      <c r="C38" s="85">
        <v>1</v>
      </c>
      <c r="D38" s="124">
        <v>450</v>
      </c>
      <c r="E38" s="57">
        <v>1</v>
      </c>
      <c r="F38" s="114">
        <v>5</v>
      </c>
      <c r="G38" s="178">
        <v>0.2</v>
      </c>
      <c r="H38" s="124">
        <f t="shared" si="1"/>
        <v>90</v>
      </c>
      <c r="I38" s="155">
        <f t="shared" si="0"/>
        <v>45</v>
      </c>
      <c r="J38" s="85"/>
    </row>
    <row r="39" spans="2:10" s="9" customFormat="1" x14ac:dyDescent="0.25">
      <c r="B39" s="57" t="s">
        <v>19</v>
      </c>
      <c r="C39" s="85">
        <v>1</v>
      </c>
      <c r="D39" s="124">
        <v>300</v>
      </c>
      <c r="E39" s="57">
        <v>3</v>
      </c>
      <c r="F39" s="114">
        <v>5</v>
      </c>
      <c r="G39" s="178">
        <v>0.2</v>
      </c>
      <c r="H39" s="124">
        <f t="shared" si="1"/>
        <v>180</v>
      </c>
      <c r="I39" s="155">
        <f t="shared" si="0"/>
        <v>90</v>
      </c>
      <c r="J39" s="85"/>
    </row>
    <row r="40" spans="2:10" s="9" customFormat="1" x14ac:dyDescent="0.25">
      <c r="B40" s="57" t="s">
        <v>45</v>
      </c>
      <c r="C40" s="85">
        <v>1</v>
      </c>
      <c r="D40" s="124">
        <v>650</v>
      </c>
      <c r="E40" s="57">
        <v>4</v>
      </c>
      <c r="F40" s="114">
        <v>5</v>
      </c>
      <c r="G40" s="178">
        <v>0.2</v>
      </c>
      <c r="H40" s="124">
        <f t="shared" si="1"/>
        <v>520</v>
      </c>
      <c r="I40" s="155">
        <f t="shared" si="0"/>
        <v>260</v>
      </c>
      <c r="J40" s="85"/>
    </row>
    <row r="41" spans="2:10" s="9" customFormat="1" x14ac:dyDescent="0.25">
      <c r="B41" s="57" t="s">
        <v>20</v>
      </c>
      <c r="C41" s="85">
        <v>0.25</v>
      </c>
      <c r="D41" s="124">
        <v>2500</v>
      </c>
      <c r="E41" s="57">
        <v>1</v>
      </c>
      <c r="F41" s="114">
        <v>5</v>
      </c>
      <c r="G41" s="178">
        <v>0.2</v>
      </c>
      <c r="H41" s="124">
        <f t="shared" si="1"/>
        <v>125</v>
      </c>
      <c r="I41" s="155">
        <f t="shared" si="0"/>
        <v>250</v>
      </c>
      <c r="J41" s="85"/>
    </row>
    <row r="42" spans="2:10" s="9" customFormat="1" x14ac:dyDescent="0.25">
      <c r="B42" s="57" t="s">
        <v>41</v>
      </c>
      <c r="C42" s="154">
        <v>1</v>
      </c>
      <c r="D42" s="124">
        <v>2000</v>
      </c>
      <c r="E42" s="57">
        <v>1</v>
      </c>
      <c r="F42" s="114">
        <v>5</v>
      </c>
      <c r="G42" s="178">
        <v>0.2</v>
      </c>
      <c r="H42" s="124">
        <f t="shared" si="1"/>
        <v>400</v>
      </c>
      <c r="I42" s="155">
        <f t="shared" si="0"/>
        <v>200</v>
      </c>
      <c r="J42" s="85"/>
    </row>
    <row r="43" spans="2:10" s="9" customFormat="1" x14ac:dyDescent="0.25">
      <c r="B43" s="57" t="s">
        <v>54</v>
      </c>
      <c r="C43" s="85">
        <v>1</v>
      </c>
      <c r="D43" s="124">
        <v>750</v>
      </c>
      <c r="E43" s="57">
        <v>1</v>
      </c>
      <c r="F43" s="114">
        <v>5</v>
      </c>
      <c r="G43" s="178">
        <v>0.2</v>
      </c>
      <c r="H43" s="124">
        <f t="shared" si="1"/>
        <v>150</v>
      </c>
      <c r="I43" s="155">
        <f t="shared" si="0"/>
        <v>75</v>
      </c>
      <c r="J43" s="85"/>
    </row>
    <row r="44" spans="2:10" s="9" customFormat="1" x14ac:dyDescent="0.25">
      <c r="B44" s="57" t="s">
        <v>55</v>
      </c>
      <c r="C44" s="85">
        <v>1</v>
      </c>
      <c r="D44" s="124">
        <v>800</v>
      </c>
      <c r="E44" s="57">
        <v>1</v>
      </c>
      <c r="F44" s="114">
        <v>6</v>
      </c>
      <c r="G44" s="178">
        <v>0.1666</v>
      </c>
      <c r="H44" s="124">
        <f t="shared" si="1"/>
        <v>133.28</v>
      </c>
      <c r="I44" s="155">
        <f t="shared" si="0"/>
        <v>80</v>
      </c>
      <c r="J44" s="85"/>
    </row>
    <row r="45" spans="2:10" s="9" customFormat="1" x14ac:dyDescent="0.25">
      <c r="B45" s="57" t="s">
        <v>58</v>
      </c>
      <c r="C45" s="85">
        <v>1</v>
      </c>
      <c r="D45" s="124">
        <v>900</v>
      </c>
      <c r="E45" s="57">
        <v>1</v>
      </c>
      <c r="F45" s="114">
        <v>6</v>
      </c>
      <c r="G45" s="178">
        <v>0.1666</v>
      </c>
      <c r="H45" s="124">
        <f t="shared" si="1"/>
        <v>149.94</v>
      </c>
      <c r="I45" s="155">
        <f t="shared" si="0"/>
        <v>90</v>
      </c>
      <c r="J45" s="85"/>
    </row>
    <row r="46" spans="2:10" s="9" customFormat="1" x14ac:dyDescent="0.25">
      <c r="B46" s="57" t="s">
        <v>59</v>
      </c>
      <c r="C46" s="85">
        <v>1</v>
      </c>
      <c r="D46" s="124">
        <v>100</v>
      </c>
      <c r="E46" s="57">
        <v>1</v>
      </c>
      <c r="F46" s="114">
        <v>5</v>
      </c>
      <c r="G46" s="178">
        <v>0.2</v>
      </c>
      <c r="H46" s="124">
        <f t="shared" si="1"/>
        <v>20</v>
      </c>
      <c r="I46" s="155">
        <f t="shared" si="0"/>
        <v>10</v>
      </c>
      <c r="J46" s="85"/>
    </row>
    <row r="47" spans="2:10" s="9" customFormat="1" x14ac:dyDescent="0.25">
      <c r="B47" s="57" t="s">
        <v>60</v>
      </c>
      <c r="C47" s="85">
        <v>1</v>
      </c>
      <c r="D47" s="124">
        <v>100</v>
      </c>
      <c r="E47" s="57">
        <v>2</v>
      </c>
      <c r="F47" s="114">
        <v>5</v>
      </c>
      <c r="G47" s="178">
        <v>0.2</v>
      </c>
      <c r="H47" s="124">
        <f t="shared" si="1"/>
        <v>40</v>
      </c>
      <c r="I47" s="155">
        <f t="shared" si="0"/>
        <v>20</v>
      </c>
      <c r="J47" s="85"/>
    </row>
    <row r="48" spans="2:10" s="9" customFormat="1" x14ac:dyDescent="0.25">
      <c r="B48" s="57" t="s">
        <v>92</v>
      </c>
      <c r="C48" s="85">
        <v>1</v>
      </c>
      <c r="D48" s="124">
        <v>150</v>
      </c>
      <c r="E48" s="57">
        <v>5</v>
      </c>
      <c r="F48" s="114">
        <v>5</v>
      </c>
      <c r="G48" s="178">
        <v>0.2</v>
      </c>
      <c r="H48" s="124">
        <f t="shared" si="1"/>
        <v>150</v>
      </c>
      <c r="I48" s="155">
        <f t="shared" si="0"/>
        <v>75</v>
      </c>
      <c r="J48" s="85"/>
    </row>
    <row r="49" spans="2:10" s="9" customFormat="1" x14ac:dyDescent="0.25">
      <c r="B49" s="57" t="s">
        <v>61</v>
      </c>
      <c r="C49" s="85">
        <v>1</v>
      </c>
      <c r="D49" s="124">
        <v>500</v>
      </c>
      <c r="E49" s="57">
        <v>1</v>
      </c>
      <c r="F49" s="114">
        <v>5</v>
      </c>
      <c r="G49" s="178">
        <v>0.2</v>
      </c>
      <c r="H49" s="124">
        <f t="shared" si="1"/>
        <v>100</v>
      </c>
      <c r="I49" s="155">
        <f t="shared" si="0"/>
        <v>50</v>
      </c>
      <c r="J49" s="85"/>
    </row>
    <row r="50" spans="2:10" s="9" customFormat="1" x14ac:dyDescent="0.25">
      <c r="B50" s="57" t="s">
        <v>57</v>
      </c>
      <c r="C50" s="85">
        <v>1</v>
      </c>
      <c r="D50" s="124">
        <v>1000</v>
      </c>
      <c r="E50" s="57">
        <v>1</v>
      </c>
      <c r="F50" s="114">
        <v>6</v>
      </c>
      <c r="G50" s="178">
        <v>0.1666</v>
      </c>
      <c r="H50" s="124">
        <f t="shared" si="1"/>
        <v>166.6</v>
      </c>
      <c r="I50" s="155">
        <f t="shared" si="0"/>
        <v>100</v>
      </c>
      <c r="J50" s="85"/>
    </row>
    <row r="51" spans="2:10" s="9" customFormat="1" x14ac:dyDescent="0.25">
      <c r="B51" s="57"/>
      <c r="C51" s="85"/>
      <c r="D51" s="124"/>
      <c r="E51" s="57"/>
      <c r="F51" s="114"/>
      <c r="G51" s="85"/>
      <c r="H51" s="124"/>
      <c r="I51" s="124"/>
      <c r="J51" s="85"/>
    </row>
    <row r="52" spans="2:10" s="9" customFormat="1" x14ac:dyDescent="0.25">
      <c r="B52" s="57"/>
      <c r="C52" s="85"/>
      <c r="D52" s="86"/>
      <c r="E52" s="57"/>
      <c r="F52" s="85"/>
      <c r="G52" s="85"/>
      <c r="H52" s="126">
        <f>SUM(H33:H50)</f>
        <v>3724.82</v>
      </c>
      <c r="I52" s="126">
        <f>SUM(I33:I50)</f>
        <v>2095</v>
      </c>
      <c r="J52" s="167">
        <v>3000</v>
      </c>
    </row>
    <row r="53" spans="2:10" s="9" customFormat="1" x14ac:dyDescent="0.25">
      <c r="B53" s="56"/>
      <c r="C53" s="83" t="s">
        <v>29</v>
      </c>
      <c r="D53" s="84" t="s">
        <v>30</v>
      </c>
      <c r="E53" s="56"/>
      <c r="F53" s="83"/>
      <c r="G53" s="83"/>
      <c r="H53" s="83"/>
      <c r="I53" s="83"/>
      <c r="J53" s="83"/>
    </row>
    <row r="54" spans="2:10" s="9" customFormat="1" x14ac:dyDescent="0.25">
      <c r="B54" s="57" t="s">
        <v>86</v>
      </c>
      <c r="C54" s="86">
        <v>60</v>
      </c>
      <c r="D54" s="114">
        <v>70</v>
      </c>
      <c r="E54" s="85"/>
      <c r="F54" s="85"/>
      <c r="G54" s="85"/>
      <c r="H54" s="121">
        <f>C54*D54</f>
        <v>4200</v>
      </c>
      <c r="I54" s="85"/>
      <c r="J54" s="85"/>
    </row>
    <row r="55" spans="2:10" s="9" customFormat="1" x14ac:dyDescent="0.25">
      <c r="B55" s="57" t="s">
        <v>85</v>
      </c>
      <c r="C55" s="86">
        <v>30</v>
      </c>
      <c r="D55" s="114">
        <v>190</v>
      </c>
      <c r="E55" s="85"/>
      <c r="F55" s="85"/>
      <c r="G55" s="85"/>
      <c r="H55" s="121">
        <f>C55*D55</f>
        <v>5700</v>
      </c>
      <c r="I55" s="85"/>
      <c r="J55" s="85"/>
    </row>
    <row r="56" spans="2:10" s="9" customFormat="1" x14ac:dyDescent="0.25">
      <c r="B56" s="57"/>
      <c r="C56" s="86"/>
      <c r="D56" s="114"/>
      <c r="E56" s="85"/>
      <c r="F56" s="85"/>
      <c r="G56" s="85"/>
      <c r="H56" s="123">
        <f>SUM(H54:H55)</f>
        <v>9900</v>
      </c>
      <c r="I56" s="85"/>
      <c r="J56" s="85"/>
    </row>
    <row r="57" spans="2:10" s="9" customFormat="1" x14ac:dyDescent="0.25">
      <c r="B57" s="38" t="s">
        <v>21</v>
      </c>
      <c r="C57" s="84"/>
      <c r="D57" s="83"/>
      <c r="E57" s="83"/>
      <c r="F57" s="83"/>
      <c r="G57" s="83"/>
      <c r="H57" s="122">
        <f>H52+I52+H56+J52</f>
        <v>18719.82</v>
      </c>
      <c r="I57" s="83"/>
      <c r="J57" s="83"/>
    </row>
    <row r="58" spans="2:10" s="9" customFormat="1" x14ac:dyDescent="0.25">
      <c r="B58" s="38"/>
      <c r="C58" s="84"/>
      <c r="D58" s="83"/>
      <c r="E58" s="83"/>
      <c r="F58" s="83"/>
      <c r="G58" s="83"/>
      <c r="H58" s="122"/>
      <c r="I58" s="83"/>
      <c r="J58" s="83"/>
    </row>
    <row r="59" spans="2:10" s="9" customFormat="1" x14ac:dyDescent="0.25">
      <c r="B59" s="41" t="s">
        <v>68</v>
      </c>
      <c r="C59" s="158" t="s">
        <v>69</v>
      </c>
      <c r="D59" s="159" t="s">
        <v>70</v>
      </c>
      <c r="E59" s="159"/>
      <c r="F59" s="159"/>
      <c r="G59" s="159"/>
      <c r="H59" s="160"/>
      <c r="I59" s="159"/>
      <c r="J59" s="159"/>
    </row>
    <row r="60" spans="2:10" s="9" customFormat="1" x14ac:dyDescent="0.25">
      <c r="B60" s="41" t="s">
        <v>72</v>
      </c>
      <c r="C60" s="158">
        <v>30</v>
      </c>
      <c r="D60" s="161">
        <f>C60*48</f>
        <v>1440</v>
      </c>
      <c r="E60" s="159"/>
      <c r="F60" s="159"/>
      <c r="G60" s="159"/>
      <c r="H60" s="160"/>
      <c r="I60" s="159"/>
      <c r="J60" s="159"/>
    </row>
    <row r="61" spans="2:10" s="9" customFormat="1" x14ac:dyDescent="0.25">
      <c r="B61" s="41" t="s">
        <v>71</v>
      </c>
      <c r="C61" s="158"/>
      <c r="D61" s="159"/>
      <c r="E61" s="159"/>
      <c r="F61" s="159"/>
      <c r="G61" s="159"/>
      <c r="H61" s="168">
        <v>1440</v>
      </c>
      <c r="I61" s="159"/>
      <c r="J61" s="159"/>
    </row>
    <row r="62" spans="2:10" s="9" customFormat="1" x14ac:dyDescent="0.25">
      <c r="B62" s="41"/>
      <c r="C62" s="158"/>
      <c r="D62" s="159"/>
      <c r="E62" s="159"/>
      <c r="F62" s="159"/>
      <c r="G62" s="159"/>
      <c r="H62" s="160"/>
      <c r="I62" s="159"/>
      <c r="J62" s="159"/>
    </row>
    <row r="63" spans="2:10" s="9" customFormat="1" x14ac:dyDescent="0.25">
      <c r="C63" s="79"/>
      <c r="D63" s="70"/>
      <c r="E63" s="70"/>
      <c r="F63" s="70"/>
      <c r="G63" s="70"/>
      <c r="H63" s="70"/>
      <c r="I63" s="70"/>
      <c r="J63" s="70"/>
    </row>
    <row r="64" spans="2:10" s="9" customFormat="1" x14ac:dyDescent="0.25">
      <c r="B64" s="97" t="s">
        <v>28</v>
      </c>
      <c r="C64" s="87" t="s">
        <v>22</v>
      </c>
      <c r="D64" s="88" t="s">
        <v>23</v>
      </c>
      <c r="E64" s="88"/>
      <c r="F64" s="88"/>
      <c r="G64" s="88"/>
      <c r="H64" s="88"/>
      <c r="I64" s="88"/>
      <c r="J64" s="88"/>
    </row>
    <row r="65" spans="1:12" s="9" customFormat="1" x14ac:dyDescent="0.25">
      <c r="B65" s="71" t="s">
        <v>27</v>
      </c>
      <c r="C65" s="89">
        <v>100</v>
      </c>
      <c r="D65" s="180">
        <v>800</v>
      </c>
      <c r="E65" s="90"/>
      <c r="F65" s="90"/>
      <c r="G65" s="90"/>
      <c r="H65" s="91">
        <f>D65*12</f>
        <v>9600</v>
      </c>
      <c r="I65" s="90"/>
      <c r="J65" s="90"/>
    </row>
    <row r="66" spans="1:12" s="9" customFormat="1" x14ac:dyDescent="0.25">
      <c r="B66" s="97" t="s">
        <v>24</v>
      </c>
      <c r="C66" s="87"/>
      <c r="D66" s="88"/>
      <c r="E66" s="88"/>
      <c r="F66" s="88"/>
      <c r="G66" s="88"/>
      <c r="H66" s="92">
        <f>SUM(H65:H65)</f>
        <v>9600</v>
      </c>
      <c r="I66" s="88"/>
      <c r="J66" s="88"/>
    </row>
    <row r="67" spans="1:12" s="9" customFormat="1" x14ac:dyDescent="0.25">
      <c r="B67" s="72"/>
      <c r="C67" s="87"/>
      <c r="D67" s="88"/>
      <c r="E67" s="88"/>
      <c r="F67" s="88"/>
      <c r="G67" s="88"/>
      <c r="H67" s="92"/>
      <c r="I67" s="88"/>
      <c r="J67" s="88"/>
    </row>
    <row r="68" spans="1:12" s="9" customFormat="1" x14ac:dyDescent="0.25">
      <c r="C68" s="79"/>
      <c r="D68" s="70"/>
      <c r="E68" s="70"/>
      <c r="F68" s="70"/>
      <c r="G68" s="70"/>
      <c r="H68" s="70"/>
      <c r="I68" s="70"/>
      <c r="J68" s="70"/>
    </row>
    <row r="69" spans="1:12" x14ac:dyDescent="0.25">
      <c r="A69" s="24"/>
      <c r="B69" s="48" t="s">
        <v>26</v>
      </c>
      <c r="C69" s="68"/>
      <c r="D69" s="68"/>
      <c r="E69" s="68"/>
      <c r="F69" s="68"/>
      <c r="G69" s="68"/>
      <c r="H69" s="188" t="s">
        <v>108</v>
      </c>
      <c r="I69" s="188" t="s">
        <v>109</v>
      </c>
      <c r="J69" s="68"/>
      <c r="K69" s="193" t="s">
        <v>101</v>
      </c>
      <c r="L69" s="193" t="s">
        <v>102</v>
      </c>
    </row>
    <row r="70" spans="1:12" x14ac:dyDescent="0.25">
      <c r="A70" s="24"/>
      <c r="B70" s="93" t="s">
        <v>15</v>
      </c>
      <c r="C70" s="94"/>
      <c r="D70" s="94"/>
      <c r="E70" s="94"/>
      <c r="F70" s="94"/>
      <c r="G70" s="94"/>
      <c r="H70" s="95">
        <f>E14</f>
        <v>234282.35299999997</v>
      </c>
      <c r="I70" s="95">
        <f>F14</f>
        <v>238912.61250000002</v>
      </c>
      <c r="J70" s="94"/>
      <c r="K70" s="186">
        <f>G14</f>
        <v>244179.73699999996</v>
      </c>
      <c r="L70" s="186">
        <f>H14</f>
        <v>255541.636</v>
      </c>
    </row>
    <row r="71" spans="1:12" x14ac:dyDescent="0.25">
      <c r="A71" s="24"/>
      <c r="B71" s="93" t="s">
        <v>84</v>
      </c>
      <c r="C71" s="94"/>
      <c r="D71" s="94"/>
      <c r="E71" s="94"/>
      <c r="F71" s="94"/>
      <c r="G71" s="94"/>
      <c r="H71" s="95">
        <f>H19</f>
        <v>25500</v>
      </c>
      <c r="I71" s="95">
        <f>H19</f>
        <v>25500</v>
      </c>
      <c r="J71" s="94"/>
      <c r="K71" s="59"/>
      <c r="L71" s="59"/>
    </row>
    <row r="72" spans="1:12" ht="30" x14ac:dyDescent="0.25">
      <c r="A72" s="24"/>
      <c r="B72" s="118" t="s">
        <v>38</v>
      </c>
      <c r="C72" s="94"/>
      <c r="D72" s="94"/>
      <c r="E72" s="94"/>
      <c r="F72" s="94"/>
      <c r="G72" s="94"/>
      <c r="H72" s="117">
        <f>H29</f>
        <v>16453.327499999999</v>
      </c>
      <c r="I72" s="95">
        <f>H29</f>
        <v>16453.327499999999</v>
      </c>
      <c r="J72" s="94"/>
      <c r="K72" s="59"/>
      <c r="L72" s="59"/>
    </row>
    <row r="73" spans="1:12" x14ac:dyDescent="0.25">
      <c r="A73" s="24"/>
      <c r="B73" s="93" t="s">
        <v>14</v>
      </c>
      <c r="C73" s="94"/>
      <c r="D73" s="94"/>
      <c r="E73" s="94"/>
      <c r="F73" s="94"/>
      <c r="G73" s="94"/>
      <c r="H73" s="95">
        <f>H57</f>
        <v>18719.82</v>
      </c>
      <c r="I73" s="95">
        <f>H57</f>
        <v>18719.82</v>
      </c>
      <c r="J73" s="94"/>
      <c r="K73" s="59"/>
      <c r="L73" s="59"/>
    </row>
    <row r="74" spans="1:12" x14ac:dyDescent="0.25">
      <c r="A74" s="24"/>
      <c r="B74" s="93" t="s">
        <v>66</v>
      </c>
      <c r="C74" s="94"/>
      <c r="D74" s="94"/>
      <c r="E74" s="94"/>
      <c r="F74" s="94"/>
      <c r="G74" s="94"/>
      <c r="H74" s="95">
        <f>H66</f>
        <v>9600</v>
      </c>
      <c r="I74" s="95">
        <f>H66</f>
        <v>9600</v>
      </c>
      <c r="J74" s="94"/>
      <c r="K74" s="59"/>
      <c r="L74" s="59"/>
    </row>
    <row r="75" spans="1:12" x14ac:dyDescent="0.25">
      <c r="A75" s="24"/>
      <c r="B75" s="93" t="s">
        <v>73</v>
      </c>
      <c r="C75" s="94"/>
      <c r="D75" s="94"/>
      <c r="E75" s="94"/>
      <c r="F75" s="94"/>
      <c r="G75" s="94"/>
      <c r="H75" s="95">
        <f>H61</f>
        <v>1440</v>
      </c>
      <c r="I75" s="95">
        <f>H61</f>
        <v>1440</v>
      </c>
      <c r="J75" s="94"/>
      <c r="K75" s="59"/>
      <c r="L75" s="59"/>
    </row>
    <row r="76" spans="1:12" x14ac:dyDescent="0.25">
      <c r="A76" s="24"/>
      <c r="B76" s="48" t="s">
        <v>25</v>
      </c>
      <c r="C76" s="78"/>
      <c r="D76" s="78"/>
      <c r="E76" s="78"/>
      <c r="F76" s="78"/>
      <c r="G76" s="78"/>
      <c r="H76" s="51">
        <f>SUM(H70:H75)</f>
        <v>305995.50049999997</v>
      </c>
      <c r="I76" s="51">
        <f>SUM(I70:I75)</f>
        <v>310625.76000000007</v>
      </c>
      <c r="J76" s="78"/>
      <c r="K76" s="51">
        <f>SUM(H71:H75)+K70</f>
        <v>315892.88449999993</v>
      </c>
      <c r="L76" s="51">
        <f>SUM(H71:H75)+L70</f>
        <v>327254.78350000002</v>
      </c>
    </row>
    <row r="77" spans="1:12" x14ac:dyDescent="0.25">
      <c r="A77" s="24"/>
      <c r="B77" s="9"/>
      <c r="C77" s="17"/>
      <c r="D77" s="17"/>
      <c r="E77" s="17"/>
      <c r="F77" s="17"/>
      <c r="G77" s="17"/>
      <c r="H77" s="32"/>
      <c r="I77" s="17"/>
      <c r="J77" s="17"/>
    </row>
    <row r="78" spans="1:12" s="9" customFormat="1" x14ac:dyDescent="0.25">
      <c r="A78" s="24"/>
      <c r="B78" s="61"/>
      <c r="C78" s="169" t="s">
        <v>0</v>
      </c>
      <c r="D78" s="19"/>
      <c r="E78" s="19"/>
      <c r="F78" s="19"/>
      <c r="G78" s="19"/>
      <c r="H78" s="19"/>
      <c r="I78" s="19"/>
      <c r="J78" s="19"/>
      <c r="K78" s="61"/>
      <c r="L78" s="61"/>
    </row>
    <row r="79" spans="1:12" x14ac:dyDescent="0.25">
      <c r="A79" s="24"/>
      <c r="B79" s="18" t="s">
        <v>2</v>
      </c>
      <c r="C79" s="181">
        <v>0.04</v>
      </c>
      <c r="D79" s="133"/>
      <c r="E79" s="133"/>
      <c r="F79" s="133"/>
      <c r="G79" s="133"/>
      <c r="H79" s="134">
        <f>H76*C79</f>
        <v>12239.820019999999</v>
      </c>
      <c r="I79" s="134">
        <f>I76*C79</f>
        <v>12425.030400000003</v>
      </c>
      <c r="J79" s="13"/>
      <c r="K79" s="192">
        <f>K76*C79</f>
        <v>12635.715379999998</v>
      </c>
      <c r="L79" s="192">
        <f>L76*C79</f>
        <v>13090.191340000001</v>
      </c>
    </row>
    <row r="80" spans="1:12" x14ac:dyDescent="0.25">
      <c r="A80" s="24"/>
      <c r="B80" s="7" t="s">
        <v>3</v>
      </c>
      <c r="C80" s="153">
        <v>0.06</v>
      </c>
      <c r="D80" s="135"/>
      <c r="E80" s="135"/>
      <c r="F80" s="135"/>
      <c r="G80" s="135"/>
      <c r="H80" s="136">
        <f>H76*C80</f>
        <v>18359.730029999999</v>
      </c>
      <c r="I80" s="136">
        <f>I76*C80</f>
        <v>18637.545600000005</v>
      </c>
      <c r="J80" s="8"/>
      <c r="K80" s="191">
        <f>K76*C80</f>
        <v>18953.573069999995</v>
      </c>
      <c r="L80" s="191">
        <f>L76*C80</f>
        <v>19635.28701</v>
      </c>
    </row>
    <row r="81" spans="1:12" x14ac:dyDescent="0.25">
      <c r="A81" s="24"/>
      <c r="B81" s="20"/>
      <c r="C81" s="9"/>
      <c r="D81" s="9"/>
      <c r="E81" s="9"/>
      <c r="F81" s="9"/>
      <c r="G81" s="9"/>
      <c r="H81" s="9"/>
      <c r="I81" s="9"/>
      <c r="J81" s="9"/>
    </row>
    <row r="82" spans="1:12" ht="18.75" x14ac:dyDescent="0.3">
      <c r="A82" s="24"/>
      <c r="B82" s="21" t="s">
        <v>8</v>
      </c>
      <c r="C82" s="19"/>
      <c r="D82" s="19"/>
      <c r="E82" s="19"/>
      <c r="F82" s="19"/>
      <c r="G82" s="19"/>
      <c r="H82" s="22">
        <f>H76+H79+H80</f>
        <v>336595.05054999993</v>
      </c>
      <c r="I82" s="22">
        <f>SUM(I76:I80)</f>
        <v>341688.33600000007</v>
      </c>
      <c r="J82" s="190"/>
      <c r="K82" s="22">
        <f>SUM(K76:K80)</f>
        <v>347482.17294999992</v>
      </c>
      <c r="L82" s="22">
        <f>SUM(L76:L80)</f>
        <v>359980.26185000001</v>
      </c>
    </row>
    <row r="83" spans="1:12" ht="18.75" x14ac:dyDescent="0.3">
      <c r="A83" s="24"/>
      <c r="B83" s="21" t="s">
        <v>97</v>
      </c>
      <c r="C83" s="19"/>
      <c r="D83" s="19"/>
      <c r="E83" s="19"/>
      <c r="F83" s="19"/>
      <c r="G83" s="19"/>
      <c r="H83" s="22">
        <f>H82-H19</f>
        <v>311095.05054999993</v>
      </c>
      <c r="I83" s="22">
        <f>I82-H19</f>
        <v>316188.33600000007</v>
      </c>
      <c r="J83" s="190"/>
      <c r="K83" s="22">
        <f>K82-H19</f>
        <v>321982.17294999992</v>
      </c>
      <c r="L83" s="22">
        <f>L82-H19</f>
        <v>334480.26185000001</v>
      </c>
    </row>
    <row r="84" spans="1:12" ht="18.75" x14ac:dyDescent="0.3">
      <c r="A84" s="24"/>
      <c r="B84" s="21" t="s">
        <v>98</v>
      </c>
      <c r="C84" s="19"/>
      <c r="D84" s="19"/>
      <c r="E84" s="19"/>
      <c r="F84" s="19"/>
      <c r="G84" s="19"/>
      <c r="H84" s="22">
        <f>H19</f>
        <v>25500</v>
      </c>
      <c r="I84" s="22">
        <f>H19</f>
        <v>25500</v>
      </c>
      <c r="J84" s="190"/>
      <c r="K84" s="22">
        <f>H19</f>
        <v>25500</v>
      </c>
      <c r="L84" s="22">
        <f>H19</f>
        <v>25500</v>
      </c>
    </row>
    <row r="85" spans="1:12" x14ac:dyDescent="0.25">
      <c r="A85" s="24"/>
      <c r="C85" s="4"/>
      <c r="D85" s="4"/>
      <c r="E85" s="4"/>
      <c r="F85" s="4"/>
      <c r="G85" s="4"/>
      <c r="H85" s="4"/>
      <c r="I85" s="4"/>
      <c r="J85" s="4"/>
    </row>
    <row r="86" spans="1:12" x14ac:dyDescent="0.25">
      <c r="A86" s="24"/>
      <c r="B86" s="1" t="s">
        <v>4</v>
      </c>
      <c r="C86" s="5"/>
      <c r="D86" s="5"/>
      <c r="E86" s="5"/>
      <c r="F86" s="5"/>
      <c r="G86" s="5"/>
      <c r="H86" s="96">
        <v>0.21</v>
      </c>
      <c r="I86" s="96">
        <v>0.1</v>
      </c>
      <c r="J86" s="198"/>
      <c r="K86" s="3"/>
      <c r="L86" s="3"/>
    </row>
    <row r="87" spans="1:12" x14ac:dyDescent="0.25">
      <c r="A87" s="24"/>
      <c r="B87" s="55"/>
      <c r="C87" s="5"/>
      <c r="D87" s="5"/>
      <c r="E87" s="5"/>
      <c r="F87" s="5"/>
      <c r="G87" s="5"/>
      <c r="I87" s="3"/>
      <c r="J87" s="5"/>
    </row>
    <row r="88" spans="1:12" x14ac:dyDescent="0.25">
      <c r="A88" s="24"/>
      <c r="B88" s="2" t="s">
        <v>112</v>
      </c>
      <c r="C88" s="4"/>
      <c r="D88" s="4"/>
      <c r="E88" s="4"/>
      <c r="F88" s="4"/>
      <c r="G88" s="4"/>
      <c r="H88" s="31">
        <f>E14</f>
        <v>234282.35299999997</v>
      </c>
      <c r="I88" s="9"/>
      <c r="J88" s="4"/>
    </row>
    <row r="89" spans="1:12" x14ac:dyDescent="0.25">
      <c r="A89" s="24"/>
      <c r="B89" s="2" t="s">
        <v>113</v>
      </c>
      <c r="C89" s="4"/>
      <c r="D89" s="4"/>
      <c r="E89" s="4"/>
      <c r="F89" s="4"/>
      <c r="G89" s="4"/>
      <c r="H89" s="31">
        <f>F14</f>
        <v>238912.61250000002</v>
      </c>
      <c r="I89" s="9"/>
      <c r="J89" s="4"/>
    </row>
    <row r="90" spans="1:12" x14ac:dyDescent="0.25">
      <c r="A90" s="24"/>
      <c r="B90" s="2" t="s">
        <v>125</v>
      </c>
      <c r="C90" s="4"/>
      <c r="D90" s="4"/>
      <c r="E90" s="4"/>
      <c r="F90" s="4"/>
      <c r="G90" s="4"/>
      <c r="H90" s="31">
        <f>G14</f>
        <v>244179.73699999996</v>
      </c>
      <c r="I90" s="9"/>
      <c r="J90" s="4"/>
    </row>
    <row r="91" spans="1:12" x14ac:dyDescent="0.25">
      <c r="A91" s="24"/>
      <c r="B91" s="2" t="s">
        <v>126</v>
      </c>
      <c r="C91" s="4"/>
      <c r="D91" s="4"/>
      <c r="E91" s="4"/>
      <c r="F91" s="4"/>
      <c r="G91" s="4"/>
      <c r="H91" s="31">
        <f>H14</f>
        <v>255541.636</v>
      </c>
      <c r="I91" s="9"/>
      <c r="J91" s="4"/>
    </row>
    <row r="92" spans="1:12" x14ac:dyDescent="0.25">
      <c r="A92" s="24"/>
      <c r="B92" s="2" t="s">
        <v>16</v>
      </c>
      <c r="C92" s="4"/>
      <c r="D92" s="4"/>
      <c r="E92" s="4"/>
      <c r="F92" s="4"/>
      <c r="G92" s="4"/>
      <c r="H92" s="31"/>
      <c r="I92" s="31">
        <f>H17</f>
        <v>16000</v>
      </c>
      <c r="J92" s="4"/>
    </row>
    <row r="93" spans="1:12" x14ac:dyDescent="0.25">
      <c r="A93" s="24"/>
      <c r="B93" s="2" t="s">
        <v>17</v>
      </c>
      <c r="H93" s="31">
        <f>H18</f>
        <v>9500</v>
      </c>
      <c r="I93" s="9"/>
    </row>
    <row r="94" spans="1:12" ht="30" x14ac:dyDescent="0.25">
      <c r="A94" s="24"/>
      <c r="B94" s="129" t="s">
        <v>47</v>
      </c>
      <c r="H94" s="31">
        <f>H29</f>
        <v>16453.327499999999</v>
      </c>
      <c r="I94" s="9"/>
    </row>
    <row r="95" spans="1:12" x14ac:dyDescent="0.25">
      <c r="A95" s="24"/>
      <c r="B95" s="2" t="s">
        <v>48</v>
      </c>
      <c r="H95" s="31">
        <f>H57</f>
        <v>18719.82</v>
      </c>
      <c r="I95" s="9"/>
    </row>
    <row r="96" spans="1:12" x14ac:dyDescent="0.25">
      <c r="A96" s="24"/>
      <c r="B96" s="2" t="s">
        <v>74</v>
      </c>
      <c r="H96" s="31">
        <f>H61</f>
        <v>1440</v>
      </c>
      <c r="I96" s="9"/>
    </row>
    <row r="97" spans="1:10" x14ac:dyDescent="0.25">
      <c r="A97" s="24"/>
      <c r="B97" s="2" t="s">
        <v>49</v>
      </c>
      <c r="H97" s="31">
        <f>H66</f>
        <v>9600</v>
      </c>
      <c r="I97" s="9"/>
    </row>
    <row r="98" spans="1:10" x14ac:dyDescent="0.25">
      <c r="B98" s="2" t="s">
        <v>133</v>
      </c>
      <c r="C98" s="4"/>
      <c r="D98" s="4"/>
      <c r="E98" s="4"/>
      <c r="F98" s="4"/>
      <c r="G98" s="4"/>
      <c r="H98" s="31">
        <f>H79</f>
        <v>12239.820019999999</v>
      </c>
      <c r="I98" s="9"/>
      <c r="J98" s="4"/>
    </row>
    <row r="99" spans="1:10" x14ac:dyDescent="0.25">
      <c r="B99" s="2" t="s">
        <v>134</v>
      </c>
      <c r="C99" s="4"/>
      <c r="D99" s="4"/>
      <c r="E99" s="4"/>
      <c r="F99" s="4"/>
      <c r="G99" s="4"/>
      <c r="H99" s="31">
        <f>H80</f>
        <v>18359.730029999999</v>
      </c>
      <c r="I99" s="9"/>
      <c r="J99" s="4"/>
    </row>
    <row r="100" spans="1:10" x14ac:dyDescent="0.25">
      <c r="B100" s="5" t="s">
        <v>116</v>
      </c>
      <c r="H100" s="32">
        <f>SUM(H93:H97)+H88+H79+H80</f>
        <v>320595.05054999993</v>
      </c>
      <c r="I100" s="32">
        <f>SUM(I87:I99)</f>
        <v>16000</v>
      </c>
    </row>
    <row r="101" spans="1:10" x14ac:dyDescent="0.25">
      <c r="B101" s="5" t="s">
        <v>117</v>
      </c>
      <c r="H101" s="32">
        <f>SUM(H93:H97)+H89+I79+I80</f>
        <v>325688.33600000001</v>
      </c>
      <c r="I101" s="32">
        <v>16000</v>
      </c>
    </row>
    <row r="102" spans="1:10" x14ac:dyDescent="0.25">
      <c r="B102" s="5" t="s">
        <v>118</v>
      </c>
      <c r="H102" s="23">
        <f>H100*H86</f>
        <v>67324.960615499978</v>
      </c>
      <c r="I102" s="23">
        <f>$I$100*$I$86</f>
        <v>1600</v>
      </c>
      <c r="J102" s="3">
        <f>H102+I102</f>
        <v>68924.960615499978</v>
      </c>
    </row>
    <row r="103" spans="1:10" x14ac:dyDescent="0.25">
      <c r="B103" s="5" t="s">
        <v>119</v>
      </c>
      <c r="H103" s="23">
        <f>H101*H86</f>
        <v>68394.550560000003</v>
      </c>
      <c r="I103" s="23">
        <f>I101*$I$86</f>
        <v>1600</v>
      </c>
      <c r="J103" s="3">
        <f>H103+I103</f>
        <v>69994.550560000003</v>
      </c>
    </row>
    <row r="104" spans="1:10" x14ac:dyDescent="0.25">
      <c r="B104" s="1" t="s">
        <v>114</v>
      </c>
      <c r="H104" s="10">
        <f>H100+H102</f>
        <v>387920.01116549992</v>
      </c>
      <c r="I104" s="10">
        <f>I100+I102</f>
        <v>17600</v>
      </c>
    </row>
    <row r="105" spans="1:10" x14ac:dyDescent="0.25">
      <c r="B105" s="1" t="s">
        <v>115</v>
      </c>
      <c r="H105" s="10">
        <f>H101+H103</f>
        <v>394082.88656000001</v>
      </c>
      <c r="I105" s="10">
        <f>I104</f>
        <v>17600</v>
      </c>
    </row>
    <row r="106" spans="1:10" x14ac:dyDescent="0.25">
      <c r="B106" s="197" t="s">
        <v>101</v>
      </c>
      <c r="H106" s="10">
        <f>SUM($H$93:$H$97)+$H$90+K79+K80</f>
        <v>331482.17294999998</v>
      </c>
      <c r="I106" s="10">
        <v>16000</v>
      </c>
    </row>
    <row r="107" spans="1:10" x14ac:dyDescent="0.25">
      <c r="B107" s="197" t="s">
        <v>102</v>
      </c>
      <c r="H107" s="10">
        <f>SUM($H$93:$H$97)+$H$91+L79+L80</f>
        <v>343980.26185000001</v>
      </c>
      <c r="I107" s="10">
        <v>16000</v>
      </c>
    </row>
    <row r="108" spans="1:10" x14ac:dyDescent="0.25">
      <c r="B108" s="197" t="s">
        <v>131</v>
      </c>
      <c r="H108" s="23">
        <f>H106*H86</f>
        <v>69611.256319499997</v>
      </c>
      <c r="I108" s="23">
        <f>$I$102</f>
        <v>1600</v>
      </c>
      <c r="J108" s="3">
        <f>H108+I108</f>
        <v>71211.256319499997</v>
      </c>
    </row>
    <row r="109" spans="1:10" x14ac:dyDescent="0.25">
      <c r="B109" s="197" t="s">
        <v>132</v>
      </c>
      <c r="H109" s="23">
        <f>H107*H86</f>
        <v>72235.854988499996</v>
      </c>
      <c r="I109" s="23">
        <f>$I$102</f>
        <v>1600</v>
      </c>
      <c r="J109" s="3">
        <f>H109+I109</f>
        <v>73835.854988499996</v>
      </c>
    </row>
    <row r="110" spans="1:10" x14ac:dyDescent="0.25">
      <c r="B110" s="1" t="s">
        <v>129</v>
      </c>
      <c r="H110" s="10">
        <f>H106+H108</f>
        <v>401093.42926949996</v>
      </c>
      <c r="I110" s="10">
        <f>$I$100+$I$108</f>
        <v>17600</v>
      </c>
    </row>
    <row r="111" spans="1:10" x14ac:dyDescent="0.25">
      <c r="B111" s="1" t="s">
        <v>130</v>
      </c>
      <c r="H111" s="10">
        <f>H107+H109</f>
        <v>416216.11683850002</v>
      </c>
      <c r="I111" s="10">
        <f>$I$100+$I$109</f>
        <v>17600</v>
      </c>
    </row>
    <row r="112" spans="1:10" x14ac:dyDescent="0.25">
      <c r="B112" s="1"/>
      <c r="H112" s="10"/>
      <c r="I112" s="10"/>
    </row>
    <row r="113" spans="2:10" x14ac:dyDescent="0.25">
      <c r="B113" s="1"/>
      <c r="H113" s="10"/>
      <c r="I113" s="10"/>
    </row>
    <row r="114" spans="2:10" ht="18.75" x14ac:dyDescent="0.3">
      <c r="B114" s="21" t="s">
        <v>110</v>
      </c>
      <c r="C114" s="21"/>
      <c r="D114" s="21"/>
      <c r="E114" s="21"/>
      <c r="F114" s="21"/>
      <c r="G114" s="21"/>
      <c r="H114" s="22">
        <f>H104+I104</f>
        <v>405520.01116549992</v>
      </c>
      <c r="I114" s="61"/>
      <c r="J114" s="21"/>
    </row>
    <row r="115" spans="2:10" ht="18.75" x14ac:dyDescent="0.3">
      <c r="B115" s="21" t="s">
        <v>97</v>
      </c>
      <c r="C115" s="21"/>
      <c r="D115" s="21"/>
      <c r="E115" s="21"/>
      <c r="F115" s="21"/>
      <c r="G115" s="21"/>
      <c r="H115" s="22">
        <f>H114-((H93*1.21)+I104)</f>
        <v>376425.01116549992</v>
      </c>
      <c r="I115" s="61"/>
      <c r="J115" s="21"/>
    </row>
    <row r="116" spans="2:10" ht="18.75" x14ac:dyDescent="0.3">
      <c r="B116" s="21" t="s">
        <v>98</v>
      </c>
      <c r="C116" s="21"/>
      <c r="D116" s="21"/>
      <c r="E116" s="21"/>
      <c r="F116" s="21"/>
      <c r="G116" s="21"/>
      <c r="H116" s="22">
        <f>(H93*1.21)+I104</f>
        <v>29095</v>
      </c>
      <c r="I116" s="61"/>
      <c r="J116" s="21"/>
    </row>
    <row r="118" spans="2:10" ht="18.75" x14ac:dyDescent="0.3">
      <c r="B118" s="21" t="s">
        <v>111</v>
      </c>
      <c r="C118" s="61"/>
      <c r="D118" s="61"/>
      <c r="E118" s="61"/>
      <c r="F118" s="61"/>
      <c r="G118" s="61"/>
      <c r="H118" s="22">
        <f>H105+I105</f>
        <v>411682.88656000001</v>
      </c>
      <c r="I118" s="61"/>
      <c r="J118" s="61"/>
    </row>
    <row r="119" spans="2:10" ht="18.75" x14ac:dyDescent="0.3">
      <c r="B119" s="21" t="s">
        <v>97</v>
      </c>
      <c r="C119" s="61"/>
      <c r="D119" s="61"/>
      <c r="E119" s="61"/>
      <c r="F119" s="61"/>
      <c r="G119" s="61"/>
      <c r="H119" s="22">
        <f>H118-((H93*1.21)+I105)</f>
        <v>382587.88656000001</v>
      </c>
      <c r="I119" s="61"/>
      <c r="J119" s="61"/>
    </row>
    <row r="120" spans="2:10" ht="18.75" x14ac:dyDescent="0.3">
      <c r="B120" s="21" t="s">
        <v>98</v>
      </c>
      <c r="C120" s="61"/>
      <c r="D120" s="61"/>
      <c r="E120" s="61"/>
      <c r="F120" s="61"/>
      <c r="G120" s="61"/>
      <c r="H120" s="22">
        <f>H116</f>
        <v>29095</v>
      </c>
      <c r="I120" s="61"/>
      <c r="J120" s="189"/>
    </row>
    <row r="122" spans="2:10" ht="18.75" x14ac:dyDescent="0.3">
      <c r="B122" s="21" t="s">
        <v>127</v>
      </c>
      <c r="C122" s="61"/>
      <c r="D122" s="61"/>
      <c r="E122" s="61"/>
      <c r="F122" s="61"/>
      <c r="G122" s="61"/>
      <c r="H122" s="22">
        <f>H110+I110</f>
        <v>418693.42926949996</v>
      </c>
      <c r="I122" s="61"/>
      <c r="J122" s="61"/>
    </row>
    <row r="123" spans="2:10" ht="18.75" x14ac:dyDescent="0.3">
      <c r="B123" s="21" t="s">
        <v>97</v>
      </c>
      <c r="C123" s="61"/>
      <c r="D123" s="61"/>
      <c r="E123" s="61"/>
      <c r="F123" s="61"/>
      <c r="G123" s="61"/>
      <c r="H123" s="22">
        <f>H122-((H93*1.21)+I110)</f>
        <v>389598.42926949996</v>
      </c>
      <c r="I123" s="61"/>
      <c r="J123" s="61"/>
    </row>
    <row r="124" spans="2:10" ht="18.75" x14ac:dyDescent="0.3">
      <c r="B124" s="21" t="s">
        <v>98</v>
      </c>
      <c r="C124" s="61"/>
      <c r="D124" s="61"/>
      <c r="E124" s="61"/>
      <c r="F124" s="61"/>
      <c r="G124" s="61"/>
      <c r="H124" s="22">
        <f>H116</f>
        <v>29095</v>
      </c>
      <c r="I124" s="189"/>
      <c r="J124" s="61"/>
    </row>
    <row r="126" spans="2:10" ht="18.75" x14ac:dyDescent="0.3">
      <c r="B126" s="21" t="s">
        <v>128</v>
      </c>
      <c r="C126" s="61"/>
      <c r="D126" s="61"/>
      <c r="E126" s="61"/>
      <c r="F126" s="61"/>
      <c r="G126" s="61"/>
      <c r="H126" s="22">
        <f>$H$111+$I$111</f>
        <v>433816.11683850002</v>
      </c>
      <c r="I126" s="61"/>
      <c r="J126" s="61"/>
    </row>
    <row r="127" spans="2:10" ht="18.75" x14ac:dyDescent="0.3">
      <c r="B127" s="21" t="s">
        <v>97</v>
      </c>
      <c r="C127" s="61"/>
      <c r="D127" s="61"/>
      <c r="E127" s="61"/>
      <c r="F127" s="61"/>
      <c r="G127" s="61"/>
      <c r="H127" s="22">
        <f>H126-((H93*1.21)+I111)</f>
        <v>404721.11683850002</v>
      </c>
      <c r="I127" s="61"/>
      <c r="J127" s="61"/>
    </row>
    <row r="128" spans="2:10" ht="18.75" x14ac:dyDescent="0.3">
      <c r="B128" s="21" t="s">
        <v>98</v>
      </c>
      <c r="C128" s="61"/>
      <c r="D128" s="61"/>
      <c r="E128" s="61"/>
      <c r="F128" s="61"/>
      <c r="G128" s="61"/>
      <c r="H128" s="22">
        <f>H116</f>
        <v>29095</v>
      </c>
      <c r="I128" s="189"/>
      <c r="J128" s="61"/>
    </row>
    <row r="130" spans="2:10" x14ac:dyDescent="0.25">
      <c r="B130" s="33" t="s">
        <v>9</v>
      </c>
      <c r="C130" s="34"/>
      <c r="D130" s="34"/>
      <c r="E130" s="34"/>
      <c r="F130" s="34"/>
      <c r="G130" s="1"/>
      <c r="H130" s="1"/>
      <c r="I130" s="9"/>
      <c r="J130" s="9"/>
    </row>
    <row r="131" spans="2:10" x14ac:dyDescent="0.25">
      <c r="B131" s="34" t="s">
        <v>7</v>
      </c>
      <c r="C131" s="34"/>
      <c r="D131" s="34"/>
      <c r="E131" s="34"/>
      <c r="F131" s="35"/>
      <c r="G131" s="3"/>
      <c r="H131" s="3"/>
      <c r="I131" s="17"/>
      <c r="J131" s="31"/>
    </row>
    <row r="132" spans="2:10" x14ac:dyDescent="0.25">
      <c r="B132" s="33" t="s">
        <v>94</v>
      </c>
      <c r="C132" s="34"/>
      <c r="D132" s="34"/>
      <c r="E132" s="34"/>
      <c r="F132" s="35">
        <f>H82</f>
        <v>336595.05054999993</v>
      </c>
      <c r="I132" s="17"/>
      <c r="J132" s="31"/>
    </row>
    <row r="133" spans="2:10" x14ac:dyDescent="0.25">
      <c r="B133" s="34" t="s">
        <v>120</v>
      </c>
      <c r="C133" s="34"/>
      <c r="D133" s="34"/>
      <c r="E133" s="34"/>
      <c r="F133" s="184">
        <f>H83</f>
        <v>311095.05054999993</v>
      </c>
      <c r="I133" s="17"/>
      <c r="J133" s="31"/>
    </row>
    <row r="134" spans="2:10" x14ac:dyDescent="0.25">
      <c r="B134" s="34" t="s">
        <v>121</v>
      </c>
      <c r="C134" s="34"/>
      <c r="D134" s="34"/>
      <c r="E134" s="34"/>
      <c r="F134" s="184">
        <f>H84</f>
        <v>25500</v>
      </c>
      <c r="I134" s="17"/>
      <c r="J134" s="31"/>
    </row>
    <row r="135" spans="2:10" x14ac:dyDescent="0.25">
      <c r="B135" s="33" t="s">
        <v>95</v>
      </c>
      <c r="C135" s="34"/>
      <c r="D135" s="34"/>
      <c r="E135" s="34"/>
      <c r="F135" s="35">
        <f>I82</f>
        <v>341688.33600000007</v>
      </c>
      <c r="I135" s="17"/>
      <c r="J135" s="31"/>
    </row>
    <row r="136" spans="2:10" x14ac:dyDescent="0.25">
      <c r="B136" s="34" t="s">
        <v>120</v>
      </c>
      <c r="C136" s="34"/>
      <c r="D136" s="34"/>
      <c r="E136" s="34"/>
      <c r="F136" s="184">
        <f>I83</f>
        <v>316188.33600000007</v>
      </c>
      <c r="I136" s="17"/>
      <c r="J136" s="31"/>
    </row>
    <row r="137" spans="2:10" x14ac:dyDescent="0.25">
      <c r="B137" s="34" t="s">
        <v>121</v>
      </c>
      <c r="C137" s="34"/>
      <c r="D137" s="34"/>
      <c r="E137" s="34"/>
      <c r="F137" s="184">
        <f>I84</f>
        <v>25500</v>
      </c>
      <c r="I137" s="17"/>
      <c r="J137" s="31"/>
    </row>
    <row r="138" spans="2:10" x14ac:dyDescent="0.25">
      <c r="B138" s="33" t="s">
        <v>96</v>
      </c>
      <c r="C138" s="34"/>
      <c r="D138" s="34">
        <v>2</v>
      </c>
      <c r="E138" s="34"/>
      <c r="F138" s="194">
        <f>F132+F135</f>
        <v>678283.38654999994</v>
      </c>
      <c r="I138" s="17"/>
      <c r="J138" s="31"/>
    </row>
    <row r="139" spans="2:10" x14ac:dyDescent="0.25">
      <c r="B139" s="33" t="s">
        <v>50</v>
      </c>
      <c r="C139" s="34"/>
      <c r="D139" s="34"/>
      <c r="E139" s="34"/>
      <c r="F139" s="194">
        <f>K82</f>
        <v>347482.17294999992</v>
      </c>
      <c r="I139" s="17"/>
      <c r="J139" s="31"/>
    </row>
    <row r="140" spans="2:10" x14ac:dyDescent="0.25">
      <c r="B140" s="34" t="s">
        <v>120</v>
      </c>
      <c r="C140" s="34"/>
      <c r="D140" s="34"/>
      <c r="E140" s="34"/>
      <c r="F140" s="36">
        <f>K83</f>
        <v>321982.17294999992</v>
      </c>
      <c r="I140" s="17"/>
      <c r="J140" s="31"/>
    </row>
    <row r="141" spans="2:10" x14ac:dyDescent="0.25">
      <c r="B141" s="34" t="s">
        <v>121</v>
      </c>
      <c r="C141" s="34"/>
      <c r="D141" s="34"/>
      <c r="E141" s="34"/>
      <c r="F141" s="36">
        <f>K84</f>
        <v>25500</v>
      </c>
      <c r="I141" s="17"/>
      <c r="J141" s="31"/>
    </row>
    <row r="142" spans="2:10" x14ac:dyDescent="0.25">
      <c r="B142" s="196" t="s">
        <v>51</v>
      </c>
      <c r="C142" s="34"/>
      <c r="D142" s="34"/>
      <c r="E142" s="34"/>
      <c r="F142" s="194">
        <f>L82</f>
        <v>359980.26185000001</v>
      </c>
      <c r="I142" s="17"/>
      <c r="J142" s="31"/>
    </row>
    <row r="143" spans="2:10" x14ac:dyDescent="0.25">
      <c r="B143" s="157" t="s">
        <v>120</v>
      </c>
      <c r="C143" s="34"/>
      <c r="D143" s="34"/>
      <c r="E143" s="34"/>
      <c r="F143" s="36">
        <f>L83</f>
        <v>334480.26185000001</v>
      </c>
      <c r="I143" s="17"/>
      <c r="J143" s="31"/>
    </row>
    <row r="144" spans="2:10" x14ac:dyDescent="0.25">
      <c r="B144" s="157" t="s">
        <v>121</v>
      </c>
      <c r="C144" s="34"/>
      <c r="D144" s="34"/>
      <c r="E144" s="34"/>
      <c r="F144" s="36">
        <f>L84</f>
        <v>25500</v>
      </c>
      <c r="I144" s="17"/>
      <c r="J144" s="31"/>
    </row>
    <row r="145" spans="2:7" x14ac:dyDescent="0.25">
      <c r="B145" s="33" t="s">
        <v>5</v>
      </c>
      <c r="C145" s="34"/>
      <c r="D145" s="37">
        <v>0.2</v>
      </c>
      <c r="E145" s="34"/>
      <c r="F145" s="195">
        <f>F138*0.2</f>
        <v>135656.67731</v>
      </c>
      <c r="G145" s="3"/>
    </row>
    <row r="146" spans="2:7" x14ac:dyDescent="0.25">
      <c r="B146" s="34"/>
      <c r="C146" s="34"/>
      <c r="D146" s="34"/>
      <c r="E146" s="34"/>
      <c r="F146" s="34"/>
      <c r="G146" s="3"/>
    </row>
    <row r="147" spans="2:7" ht="18.75" x14ac:dyDescent="0.3">
      <c r="B147" s="39" t="s">
        <v>6</v>
      </c>
      <c r="C147" s="38"/>
      <c r="D147" s="38"/>
      <c r="E147" s="38"/>
      <c r="F147" s="40">
        <f>SUM(F138+F139+F142+F145)</f>
        <v>1521402.4986599998</v>
      </c>
    </row>
    <row r="150" spans="2:7" ht="18.75" x14ac:dyDescent="0.3">
      <c r="B150" s="174" t="s">
        <v>122</v>
      </c>
      <c r="C150" s="175"/>
      <c r="D150" s="175"/>
    </row>
    <row r="152" spans="2:7" x14ac:dyDescent="0.25">
      <c r="B152" s="1" t="s">
        <v>77</v>
      </c>
      <c r="C152" s="140">
        <f>E14</f>
        <v>234282.35299999997</v>
      </c>
    </row>
    <row r="153" spans="2:7" x14ac:dyDescent="0.25">
      <c r="B153" s="1" t="s">
        <v>78</v>
      </c>
      <c r="C153" s="3">
        <f>$H$19+$H$29+$H$57+$H$61+$H$66-($M$28+$H$41+$I$41+$H$27+$J$27+$L$27)</f>
        <v>69733.51999999999</v>
      </c>
    </row>
    <row r="154" spans="2:7" x14ac:dyDescent="0.25">
      <c r="B154" s="1" t="s">
        <v>79</v>
      </c>
      <c r="C154" s="3">
        <f>$H$79+$M$28+$H$27+$L$27+$J$27+$H$41+$I$41</f>
        <v>14219.447519999998</v>
      </c>
    </row>
    <row r="155" spans="2:7" x14ac:dyDescent="0.25">
      <c r="B155" s="1" t="s">
        <v>80</v>
      </c>
      <c r="C155" s="3">
        <f>H80</f>
        <v>18359.730029999999</v>
      </c>
    </row>
    <row r="156" spans="2:7" x14ac:dyDescent="0.25">
      <c r="B156" s="102"/>
    </row>
    <row r="157" spans="2:7" x14ac:dyDescent="0.25">
      <c r="B157" s="172" t="s">
        <v>81</v>
      </c>
      <c r="C157" s="173">
        <f>SUM(C152:C156)</f>
        <v>336595.05054999993</v>
      </c>
    </row>
    <row r="162" spans="2:4" ht="18.75" x14ac:dyDescent="0.3">
      <c r="B162" s="174" t="s">
        <v>123</v>
      </c>
      <c r="C162" s="175"/>
      <c r="D162" s="175"/>
    </row>
    <row r="164" spans="2:4" x14ac:dyDescent="0.25">
      <c r="B164" s="1" t="s">
        <v>77</v>
      </c>
      <c r="C164" s="140">
        <f>F14</f>
        <v>238912.61250000002</v>
      </c>
    </row>
    <row r="165" spans="2:4" x14ac:dyDescent="0.25">
      <c r="B165" s="1" t="s">
        <v>78</v>
      </c>
      <c r="C165" s="3">
        <f>C153</f>
        <v>69733.51999999999</v>
      </c>
    </row>
    <row r="166" spans="2:4" x14ac:dyDescent="0.25">
      <c r="B166" s="1" t="s">
        <v>79</v>
      </c>
      <c r="C166" s="3">
        <f>I79+$M$28+$H$27+$L$27+$J$27+$H$41+$I$41</f>
        <v>14404.657900000002</v>
      </c>
    </row>
    <row r="167" spans="2:4" x14ac:dyDescent="0.25">
      <c r="B167" s="1" t="s">
        <v>80</v>
      </c>
      <c r="C167" s="3">
        <f>I80</f>
        <v>18637.545600000005</v>
      </c>
    </row>
    <row r="168" spans="2:4" x14ac:dyDescent="0.25">
      <c r="B168" s="102"/>
    </row>
    <row r="169" spans="2:4" x14ac:dyDescent="0.25">
      <c r="B169" s="172" t="s">
        <v>81</v>
      </c>
      <c r="C169" s="173">
        <f>SUM(C164:C168)</f>
        <v>341688.33600000001</v>
      </c>
    </row>
  </sheetData>
  <pageMargins left="0.7" right="0.7" top="0.75" bottom="0.75" header="0.3" footer="0.3"/>
  <pageSetup paperSize="9" scale="2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1"/>
  <sheetViews>
    <sheetView workbookViewId="0">
      <selection activeCell="B2" sqref="B2:O24"/>
    </sheetView>
  </sheetViews>
  <sheetFormatPr baseColWidth="10" defaultRowHeight="15" x14ac:dyDescent="0.25"/>
  <cols>
    <col min="1" max="1" width="7" customWidth="1"/>
    <col min="3" max="3" width="5.7109375" customWidth="1"/>
    <col min="4" max="4" width="14.28515625" customWidth="1"/>
    <col min="5" max="5" width="11" customWidth="1"/>
    <col min="6" max="6" width="3.7109375" customWidth="1"/>
    <col min="7" max="7" width="9.7109375" bestFit="1" customWidth="1"/>
    <col min="8" max="8" width="9.5703125" customWidth="1"/>
    <col min="9" max="9" width="15" customWidth="1"/>
    <col min="10" max="10" width="12.7109375" customWidth="1"/>
    <col min="11" max="11" width="15.85546875" customWidth="1"/>
  </cols>
  <sheetData>
    <row r="2" spans="2:13" x14ac:dyDescent="0.25">
      <c r="B2" s="30"/>
      <c r="I2" s="26"/>
    </row>
    <row r="3" spans="2:13" ht="31.5" customHeight="1" x14ac:dyDescent="0.25">
      <c r="G3" s="26"/>
      <c r="I3" s="28"/>
    </row>
    <row r="5" spans="2:13" x14ac:dyDescent="0.25">
      <c r="D5" s="26"/>
      <c r="E5" s="26"/>
    </row>
    <row r="6" spans="2:13" x14ac:dyDescent="0.25">
      <c r="D6" s="27"/>
      <c r="E6" s="27"/>
      <c r="G6" s="25"/>
      <c r="H6" s="27"/>
      <c r="I6" s="27"/>
      <c r="J6" s="27"/>
      <c r="K6" s="14"/>
      <c r="L6" s="15"/>
      <c r="M6" s="16"/>
    </row>
    <row r="7" spans="2:13" x14ac:dyDescent="0.25">
      <c r="D7" s="27"/>
      <c r="E7" s="27"/>
      <c r="G7" s="25"/>
      <c r="H7" s="27"/>
      <c r="I7" s="27"/>
      <c r="J7" s="27"/>
      <c r="K7" s="14"/>
      <c r="L7" s="15"/>
      <c r="M7" s="16"/>
    </row>
    <row r="8" spans="2:13" x14ac:dyDescent="0.25">
      <c r="D8" s="27"/>
      <c r="E8" s="27"/>
      <c r="G8" s="25"/>
      <c r="H8" s="27"/>
      <c r="I8" s="27"/>
      <c r="J8" s="27"/>
      <c r="K8" s="14"/>
      <c r="L8" s="15"/>
      <c r="M8" s="16"/>
    </row>
    <row r="9" spans="2:13" x14ac:dyDescent="0.25">
      <c r="D9" s="27"/>
      <c r="E9" s="27"/>
      <c r="G9" s="25"/>
      <c r="H9" s="27"/>
      <c r="I9" s="27"/>
      <c r="J9" s="27"/>
      <c r="K9" s="14"/>
      <c r="L9" s="15"/>
      <c r="M9" s="16"/>
    </row>
    <row r="10" spans="2:13" x14ac:dyDescent="0.25">
      <c r="D10" s="27"/>
      <c r="E10" s="27"/>
      <c r="G10" s="25"/>
      <c r="H10" s="29"/>
      <c r="I10" s="27"/>
      <c r="J10" s="27"/>
      <c r="K10" s="14"/>
      <c r="L10" s="15"/>
      <c r="M10" s="16"/>
    </row>
    <row r="11" spans="2:13" x14ac:dyDescent="0.25">
      <c r="D11" s="27"/>
      <c r="E11" s="27"/>
      <c r="G11" s="25"/>
      <c r="H11" s="29"/>
      <c r="I11" s="27"/>
      <c r="J11" s="27"/>
      <c r="K11" s="14"/>
      <c r="L11" s="15"/>
      <c r="M11" s="16"/>
    </row>
    <row r="12" spans="2:13" x14ac:dyDescent="0.25">
      <c r="K12" s="14"/>
      <c r="L12" s="15"/>
      <c r="M12" s="16"/>
    </row>
    <row r="13" spans="2:13" x14ac:dyDescent="0.25">
      <c r="K13" s="14"/>
      <c r="L13" s="15"/>
      <c r="M13" s="16"/>
    </row>
    <row r="14" spans="2:13" x14ac:dyDescent="0.25">
      <c r="K14" s="14"/>
      <c r="L14" s="15"/>
      <c r="M14" s="16"/>
    </row>
    <row r="15" spans="2:13" x14ac:dyDescent="0.25">
      <c r="K15" s="14"/>
      <c r="L15" s="15"/>
      <c r="M15" s="16"/>
    </row>
    <row r="16" spans="2:13" x14ac:dyDescent="0.25">
      <c r="K16" s="14"/>
      <c r="L16" s="15"/>
      <c r="M16" s="16"/>
    </row>
    <row r="17" spans="11:13" x14ac:dyDescent="0.25">
      <c r="K17" s="14"/>
      <c r="L17" s="15"/>
      <c r="M17" s="16"/>
    </row>
    <row r="18" spans="11:13" x14ac:dyDescent="0.25">
      <c r="K18" s="14"/>
      <c r="L18" s="15"/>
      <c r="M18" s="16"/>
    </row>
    <row r="19" spans="11:13" x14ac:dyDescent="0.25">
      <c r="K19" s="14"/>
      <c r="L19" s="15"/>
      <c r="M19" s="16"/>
    </row>
    <row r="20" spans="11:13" x14ac:dyDescent="0.25">
      <c r="K20" s="14"/>
      <c r="L20" s="15"/>
      <c r="M20" s="16"/>
    </row>
    <row r="21" spans="11:13" x14ac:dyDescent="0.25">
      <c r="K21" s="14"/>
      <c r="L21" s="11"/>
      <c r="M21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ye4IAznOIgq8IKXl6yJSp+yTMe5lC0j5SA7i76RUohk=</DigestValue>
    </Reference>
    <Reference Type="http://www.w3.org/2000/09/xmldsig#Object" URI="#idOfficeObject">
      <DigestMethod Algorithm="http://www.w3.org/2001/04/xmlenc#sha256"/>
      <DigestValue>/AlEtJ5pOTgFVPb+9t4n6BPfANLjn3EB/Snu7kg/YaQ=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R+wJN0rV2G4jQaQRV98TmixiJijkQg85x95MJmYCH8A=</DigestValue>
    </Reference>
  </SignedInfo>
  <SignatureValue>JMoUVwEA+Hs6F/73Mm195/3fCg5GwlIpT2otW+ZBBvQGDCTyqGkJhKbDB/8vDHgFKhBhh9pLDnQI
bqMnH3eGV0EWeNPxstElfloqgLdP7hXgFRKzhjl90hKL76V1yN8fGnDdyLNZJzSkZo3njdfVLuti
L2YOsCWcIx9xysSwE0fhBPg/az/3mjjusjeYrmEEqdDfJgL1wSD5RPFv9urLhD7mDxbFcyicoN/k
HiSQ1Hb+GO5jMXmuaBJhrYTbIYMJaddwN+6i35vFZkB/7CPH32XP/oHR1fFbUFQiWqRpZRHfZu91
OGU5QQk+q/T6UVjt+zRjllwMqH7t09L1dOsukA==</SignatureValue>
  <KeyInfo>
    <X509Data>
      <X509Certificate>MIIHYjCCBkqgAwIBAgIQXiyVYFSVsZuJ8ZQ4td0CKDANBgkqhkiG9w0BAQsFADCBiDELMAkGA1UEBhMCRVMxMzAxBgNVBAoMKkNPTlNPUkNJIEFETUlOSVNUUkFDSU8gT0JFUlRBIERFIENBVEFMVU5ZQTEqMCgGA1UECwwhU2VydmVpcyBQw7pibGljcyBkZSBDZXJ0aWZpY2FjacOzMRgwFgYDVQQDDA9FQy1TZWN0b3JQdWJsaWMwHhcNMjUwNTA5MDYzODMxWhcNMjkwNTA5MDYzODMwWjCB+TELMAkGA1UEBhMCRVMxLTArBgNVBAoMJEFqdW50YW1lbnQgZGUgU2FudCBGZWxpdSBkZSBHdcOteG9sczEYMBYGA1UEYQwPVkFURVMtUDE3MTcwMDBCMSYwJAYDVQQLDB1FbXBsZWF0IHDDumJsaWMgZGUgbml2ZWxsIG1pZzEgMB4GA1UEBAwXTWlyZXQgTWFydGkgLSA0MDUzMTkzOEcxDjAMBgNVBCoMBURhdmlkMRgwFgYDVQQFEw9JRENFUy00MDUzMTkzOEcxLTArBgNVBAMMJERhdmlkIE1pcmV0IE1hcnRpIC0gNDA1MzE5MzhHIChUQ0FUKTCCASIwDQYJKoZIhvcNAQEBBQADggEPADCCAQoCggEBAOClqmMRkXl9Y41xD/BVEAi9PuqxhfiWvP4KBiv4LNBCnEL0tC/ZufaTXsAksZT36wnxvVmm5d9ADEFwz8Y9P4KKxQZcQhP5iDvV1j7PW02XhPn/CkjlLu1jeCzkPp1PubssJVkxjoV9U1uchQYtKnl2We2WmrNOxa4dw8G2tnZasISyQF8ccRVNyioWLJlw4X8B/iLYcnCho0MnZh+vFpywvQ1cCem3muEJ7YxakwoR2GBIJQDgG84asPIY0PqAAuWeARzJ4hUNQmAp6FYRtfkJWiCKQ9+wigV1HNBJtA3IEFQ5AQBuPxZqAXTK2LgOxWIjuidbAMgFFt4Fc0ZJQGsCAwEAAaOCA1MwggNPMAwGA1UdEwEB/wQCMAAwHwYDVR0jBBgwFoAURzzeFHe7ak9HkakC/9QG4XPc4tkwcAYIKwYBBQUHAQEEZDBiMD8GCCsGAQUFBzAChjNodHRwOi8vZXBzY2QuYW9jLmNhdC9kZXNjYXJyZWdhL2VjLXNlY3RvcnB1YmxpYy5jcnQwHwYIKwYBBQUHMAGGE2h0dHA6Ly9vY3NwLmFvYy5jYXQwggEDBgNVHREEgfswgfikgfUwgfIxRTBDBglghVQBAwUHAgEMNkNlcnRpZmljYXQgZWxlY3Ryw7JuaWMgZCdlbXBsZWF0IHDDumJsaWMgZGUgbml2ZWxsIG1pZzEzMDEGCWCFVAEDBQcCAgwkQWp1bnRhbWVudCBkZSBTYW50IEZlbGl1IGRlIEd1w614b2xzMRgwFgYJYIVUAQMFBwIDDAlQMTcxNzAwMEIxGDAWBglghVQBAwUHAgQMCTQwNTMxOTM4RzEUMBIGCWCFVAEDBQcCBgwFRGF2aWQxFDASBglghVQBAwUHAgcMBU1pcmV0MRQwEgYJYIVUAQMFBwIIDAVNYXJ0aTCBqgYDVR0gBIGiMIGfMIGFBg0rBgEEAfV4AQMCBwMBMHQwKwYIKwYBBQUHAgEWH2h0dHBzOi8vZXBzY2QuYW9jLmNhdC9yZWd1bGFjaW8wRQYIKwYBBQUHAgIwOQw3Q2VydGlmaWNhdCBlbGVjdHLDsm5pYyBkJ2VtcGxlYXQgcMO6YmxpYyBkZSBuaXZlbGwgbWlnLjAKBghghVQBAwUHAjAJBgcEAIvsQAEAMB4GA1UdJQQXMBUGCCsGAQUFBwMCBgkqhkiG9y8BAQUwagYIKwYBBQUHAQMEXjBcMAgGBgQAjkYBATALBgYEAI5GAQMCAQ8wEwYGBACORgEGMAkGBwQAjkYBBgEwLgYGBACORgEFMCQwIhYcaHR0cHM6Ly9lcHNjZC5hb2MuY2F0L3Bkc19lbhMCZW4wPQYDVR0fBDYwNDAyoDCgLoYsaHR0cDovL2Vwc2NkLmFvYy5jYXQvY3JsL2VjLXNlY3RvcnB1YmxpYy5jcmwwHQYDVR0OBBYEFEM8RPEZfljLvwWaOwYPja9vqJ7jMA4GA1UdDwEB/wQEAwIGwDANBgkqhkiG9w0BAQsFAAOCAQEAKN3jvYIUKfaG4WkSmWZ5NkUeSyQflmeHYIiTA0dFswRccMpDKNQuxDl10/4TWxsDiLYraVbVVbu/aghGHJqh8h95FfAeOXCc01xWbRPD2xm2DqnOOr7WDpBTVsRYO/ykQ8d4AtZkv0+z5CculLUhNVKPhmob1+vgA2C3s4Sxd0yRTpvh0Zpf8PVjW3kyR5VQ/Lk4mPE+0fnf61IF592AeV/PwYQjsi3Mkhp3E2QiyFpCpJrr+LJ1043AXppK8xlB6T2SHuUhxDmuDaJRsMMIAKNBn4VhEGr7gkim9rE3ukwSyGqUtIRMH3AxDITfY7kesbfjSiYDH7SxJBOQtS0+P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gWmwsq59RipJjW4G56iDHN3HcyLLWTnTKjFqjaw6HVI=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oPujgkMKBAPKRZeTbSUR0ytQuC8HYYgaSOx4LLrNmpc=</DigestValue>
      </Reference>
      <Reference URI="/xl/sharedStrings.xml?ContentType=application/vnd.openxmlformats-officedocument.spreadsheetml.sharedStrings+xml">
        <DigestMethod Algorithm="http://www.w3.org/2001/04/xmlenc#sha256"/>
        <DigestValue>YVuAAZ5towsrZr0LNehg92z5p0nA2aBbZ7tcOy2Y91E=</DigestValue>
      </Reference>
      <Reference URI="/xl/styles.xml?ContentType=application/vnd.openxmlformats-officedocument.spreadsheetml.styles+xml">
        <DigestMethod Algorithm="http://www.w3.org/2001/04/xmlenc#sha256"/>
        <DigestValue>dgLbB3lnHltMmZoxtiCxHiY+mAVoNsypFB97BktV9Ro=</DigestValue>
      </Reference>
      <Reference URI="/xl/theme/theme1.xml?ContentType=application/vnd.openxmlformats-officedocument.theme+xml">
        <DigestMethod Algorithm="http://www.w3.org/2001/04/xmlenc#sha256"/>
        <DigestValue>MSC/EYkfwclNctHK+aZVNa7gncE2d4S8pHsh2ftpRsE=</DigestValue>
      </Reference>
      <Reference URI="/xl/workbook.xml?ContentType=application/vnd.openxmlformats-officedocument.spreadsheetml.sheet.main+xml">
        <DigestMethod Algorithm="http://www.w3.org/2001/04/xmlenc#sha256"/>
        <DigestValue>RJo9NtGcUHCne6nCP+RpDIvINQwZYOIl8PCetyVtda8=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zyx1XV4Cl4uObTTSeWn68kZmuk0XKF1s0AgBjPAFsVc=</DigestValue>
      </Reference>
      <Reference URI="/xl/worksheets/sheet2.xml?ContentType=application/vnd.openxmlformats-officedocument.spreadsheetml.worksheet+xml">
        <DigestMethod Algorithm="http://www.w3.org/2001/04/xmlenc#sha256"/>
        <DigestValue>VAGuOxHm2gRwuaneEBIdTWvkV27tARjqQSBqsPyBacY=</DigestValue>
      </Reference>
      <Reference URI="/xl/worksheets/sheet3.xml?ContentType=application/vnd.openxmlformats-officedocument.spreadsheetml.worksheet+xml">
        <DigestMethod Algorithm="http://www.w3.org/2001/04/xmlenc#sha256"/>
        <DigestValue>aXaKzZLPTk6naP/srzYQzw0UyT4Ijhl/JlhkFx12TZ8=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2026-08-28T11:54:54Z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2026-08-28T11:54:54Z</xd:SigningTime>
          <xd:SigningCertificate>
            <xd:Cert>
              <xd:CertDigest>
                <DigestMethod Algorithm="http://www.w3.org/2001/04/xmlenc#sha256"/>
                <DigestValue>gDPaWJd93chKVZ0pBVdGRArxEzZCgk1Pq8QZtS9HRR8=</DigestValue>
              </xd:CertDigest>
              <xd:IssuerSerial>
                <X509IssuerName>CN=EC-SectorPublic, OU=Serveis Públics de Certificació, O=CONSORCI ADMINISTRACIO OBERTA DE CATALUNYA, C=ES</X509IssuerName>
                <X509SerialNumber>125178922376669879437051036321468711464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Creó y aprobó este documento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F4zCCBMugAwIBAgIQcbBlOXyOB9JUGpZ/dVk3kjANBgkqhkiG9w0BAQsFADCB8zELMAkGA1UEBhMCRVMxOzA5BgNVBAoTMkFnZW5jaWEgQ2F0YWxhbmEgZGUgQ2VydGlmaWNhY2lvIChOSUYgUS0wODAxMTc2LUkpMSgwJgYDVQQLEx9TZXJ2ZWlzIFB1YmxpY3MgZGUgQ2VydGlmaWNhY2lvMTUwMwYDVQQLEyxWZWdldSBodHRwczovL3d3dy5jYXRjZXJ0Lm5ldC92ZXJhcnJlbCAoYykwMzE1MDMGA1UECxMsSmVyYXJxdWlhIEVudGl0YXRzIGRlIENlcnRpZmljYWNpbyBDYXRhbGFuZXMxDzANBgNVBAMTBkVDLUFDQzAeFw0xNDA5MTgwODIzMjdaFw0zMDA5MTgwODIzMjdaMIGIMQswCQYDVQQGEwJFUzEzMDEGA1UECgwqQ09OU09SQ0kgQURNSU5JU1RSQUNJTyBPQkVSVEEgREUgQ0FUQUxVTllBMSowKAYDVQQLDCFTZXJ2ZWlzIFDDumJsaWNzIGRlIENlcnRpZmljYWNpw7MxGDAWBgNVBAMMD0VDLVNlY3RvclB1YmxpYzCCASIwDQYJKoZIhvcNAQEBBQADggEPADCCAQoCggEBAMuuTjExvPHbEfGJ3MU9RznScEIL86TETwZTO1GZsF1vRrGAJBV3QcXSXp9/r5h7cyq19DKLTiqRtKmnwSDfQCHbtv4mIJWc8mbEZCRwQ2fp1TRV1YGFnUZghLh32PjSrjlcZcTH5rAaS8uGXdITf4Amms9wa+Ax705XFCd52sjiB4qUJtp6hMC7ECCHjWbLw0Akp4vPiPfbhLAxg400869eaMyEdkQsQYxgzyrEE9moNFRV66y3iB8env1QmN/NkMqdKlgy86HP22PrSed4fONGSB2mz/Ti4qfGY1eoroPnm5Q8IiWtvfDaBKi/DW5j+ogUJ7+2w6fMAbVZUsHWo8MCAwEAAaOCAdowggHWMBIGA1UdEwEB/wQIMAYBAf8CAQAwDgYDVR0PAQH/BAQDAgEGMB0GA1UdDgQWBBRHPN4Ud7tqT0eRqQL/1Abhc9zi2TAfBgNVHSMEGDAWgBSgw4tEqjelRb+XgFrR8Xiim+ldjTCB1gYDVR0gBIHOMIHLMIHIBgRVHSAAMIG/MDEGCCsGAQUFBwIBFiVodHRwczovL3d3dy5hb2MuY2F0L0NBVENlcnQvUmVndWxhY2lvMIGJBggrBgEFBQcCAjB9DHtBcXVlc3QgY2VydGlmaWNhdCDDqXMgZW3DqHMgw7puaWNhIGkgZXhjbHVzaXZhbWVudCBhIEVudGl0YXRzIGRlIENlcnRpZmljYWNpw7MuIFZlZ2V1IGh0dHBzOi8vd3d3LmFvYy5jYXQvQ0FUQ2VydC9SZWd1bGFjaW8wMwYIKwYBBQUHAQEEJzAlMCMGCCsGAQUFBzABhhdodHRwOi8vb2NzcC5jYXRjZXJ0LmNhdDBiBgNVHR8EWzBZMFegVaBThidodHRwOi8vZXBzY2QuY2F0Y2VydC5uZXQvY3JsL2VjLWFjYy5jcmyGKGh0dHA6Ly9lcHNjZDIuY2F0Y2VydC5uZXQvY3JsL2VjLWFjYy5jcmwwDQYJKoZIhvcNAQELBQADggEBADMRO0eqGiqUdIFFbxqwKXh+K6rXGJAnfgYI4bABMbbIAZaDklfwXj23BO8JxLPMzgIilTXgswBSZTbTVEujYQfP+lrUjP1ZG2XFPM+vKzsyF4K3s3FyfjdRmj0chun0Flao+gd9nl6j7ySzHspZb1u/i0LSz4/48mY+pTxT1HCVw4zvzm9E9X26uKxn/UikI9B5EECHGChxw5Cx1RSF7THvhEBXfCQ6wsY632uvhi/H4QAkzmOZkh1PVzzehlsK2telJGfAt+xIxLHYvRUOTC5MRpSt2EzqvTjdsC8gKzGvgqYEhZBqrq7VPnbUX9LuF9aeJlZXPsfNRaIkAJW8smo=</xd:EncapsulatedX509Certificate>
            <xd:EncapsulatedX509Certificate>MIIFVjCCBD6gAwIBAgIQ7is969Qh3hSoYqwE893EATANBgkqhkiG9w0BAQUFADCB8zELMAkGA1UEBhMCRVMxOzA5BgNVBAoTMkFnZW5jaWEgQ2F0YWxhbmEgZGUgQ2VydGlmaWNhY2lvIChOSUYgUS0wODAxMTc2LUkpMSgwJgYDVQQLEx9TZXJ2ZWlzIFB1YmxpY3MgZGUgQ2VydGlmaWNhY2lvMTUwMwYDVQQLEyxWZWdldSBodHRwczovL3d3dy5jYXRjZXJ0Lm5ldC92ZXJhcnJlbCAoYykwMzE1MDMGA1UECxMsSmVyYXJxdWlhIEVudGl0YXRzIGRlIENlcnRpZmljYWNpbyBDYXRhbGFuZXMxDzANBgNVBAMTBkVDLUFDQzAeFw0wMzAxMDcyMzAwMDBaFw0zMTAxMDcyMjU5NTlaMIHzMQswCQYDVQQGEwJFUzE7MDkGA1UEChMyQWdlbmNpYSBDYXRhbGFuYSBkZSBDZXJ0aWZpY2FjaW8gKE5JRiBRLTA4MDExNzYtSSkxKDAmBgNVBAsTH1NlcnZlaXMgUHVibGljcyBkZSBDZXJ0aWZpY2FjaW8xNTAzBgNVBAsTLFZlZ2V1IGh0dHBzOi8vd3d3LmNhdGNlcnQubmV0L3ZlcmFycmVsIChjKTAzMTUwMwYDVQQLEyxKZXJhcnF1aWEgRW50aXRhdHMgZGUgQ2VydGlmaWNhY2lvIENhdGFsYW5lczEPMA0GA1UEAxMGRUMtQUNDMIIBIjANBgkqhkiG9w0BAQEFAAOCAQ8AMIIBCgKCAQEAsyLHT+KXQpWIR4NA9h0X84NzJB5R85iKw5K4/0CQBXCHYMkAqbWUZRkiFRfCQ2xmRJoNBD45b6VLeqpjt4pEndljkYRm4CgPukLjbo73FCeTae6RDqNfDrHrZqJyTxIThmV6PttPB/SnCWDaOkKZx7J/sxaVHMf5NLWUhdWZXqBIoH7nF2W4onW4HvPlQn2v7fOKSGRdghST2MDk/7NQcvJ29rNdQlB50JQ+awwAvthrDk4q7D7SzIKiGGUzE3eeml0aE9jD2z3Il3rucO2n5nzbcc8tlGLfbdb1OL4/pYUKGbio2Al1QnDE6u/LDsg0qBIimAy4E5S2S+zw0JDnJwIDAQABo4HjMIHgMB0GA1UdEQQWMBSBEmVjX2FjY0BjYXRjZXJ0Lm5ldDAPBgNVHRMBAf8EBTADAQH/MA4GA1UdDwEB/wQEAwIBBjAdBgNVHQ4EFgQUoMOLRKo3pUW/l4Ba0fF4opvpXY0wfwYDVR0gBHgwdjB0BgsrBgEEAfV4AQMBCjBlMCwGCCsGAQUFBwIBFiBodHRwczovL3d3dy5jYXRjZXJ0Lm5ldC92ZXJhcnJlbDA1BggrBgEFBQcCAjApGidWZWdldSBodHRwczovL3d3dy5jYXRjZXJ0Lm5ldC92ZXJhcnJlbCAwDQYJKoZIhvcNAQEFBQADggEBAKBIW4IB9k1IuDlVNZyAelOZ1Vr/sXE7zDkJlF7W2u++AVtd0x7Y/X1PzaBB4DSTv8vihpw3kpBWHNzrKQXlxJ7HNd+KDM3FIUPpqojlNcAZQmNaAl6kSBg6hW/cnbw/nZzBh7h6YQjpdwt/cKt63dmXLGQehb+8dJahw3oS7AwaboMMPOhyRp/7SNVel+axofjk70YllJyJ22k4vuxcDlbHZVHlUIiIv0LVKz3l+bqeLrPK9HOSAgu+TGbrIP65y7WZf+a2E/rKS03Z7lNGBjvGTq2TWoF+bCpLagVFjPIhpDGQh2xlnJ2lYJU6Un/10asIbvPuW/mIPX64b24D5EI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PBOFILL</dc:creator>
  <cp:lastModifiedBy>David Miret</cp:lastModifiedBy>
  <cp:lastPrinted>2020-06-23T13:24:23Z</cp:lastPrinted>
  <dcterms:created xsi:type="dcterms:W3CDTF">2019-03-22T10:59:05Z</dcterms:created>
  <dcterms:modified xsi:type="dcterms:W3CDTF">2026-08-28T11:54:39Z</dcterms:modified>
</cp:coreProperties>
</file>