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CYPE Ingenieros\Projectes\Arquímedes\"/>
    </mc:Choice>
  </mc:AlternateContent>
  <xr:revisionPtr revIDLastSave="0" documentId="13_ncr:1_{A1BFF6C0-D788-453C-A432-AB30438AC3A2}" xr6:coauthVersionLast="47" xr6:coauthVersionMax="47" xr10:uidLastSave="{00000000-0000-0000-0000-000000000000}"/>
  <bookViews>
    <workbookView xWindow="-108" yWindow="-108" windowWidth="23256" windowHeight="12456" xr2:uid="{00000000-000D-0000-FFFF-FFFF00000000}"/>
  </bookViews>
  <sheets>
    <sheet name="Full 1" sheetId="1" r:id="rId1"/>
  </sheets>
  <calcPr calcId="191029"/>
</workbook>
</file>

<file path=xl/calcChain.xml><?xml version="1.0" encoding="utf-8"?>
<calcChain xmlns="http://schemas.openxmlformats.org/spreadsheetml/2006/main">
  <c r="L1221" i="1" l="1"/>
  <c r="K1221" i="1"/>
  <c r="M1221" i="1" s="1"/>
  <c r="L1222" i="1" s="1"/>
  <c r="L1216" i="1"/>
  <c r="K1216" i="1"/>
  <c r="M1216" i="1" s="1"/>
  <c r="L1217" i="1" s="1"/>
  <c r="L1208" i="1"/>
  <c r="M1208" i="1" s="1"/>
  <c r="M1207" i="1"/>
  <c r="L1207" i="1"/>
  <c r="K1206" i="1"/>
  <c r="K1203" i="1" s="1"/>
  <c r="J1206" i="1"/>
  <c r="J1205" i="1"/>
  <c r="L1199" i="1"/>
  <c r="M1199" i="1" s="1"/>
  <c r="M1198" i="1"/>
  <c r="L1200" i="1" s="1"/>
  <c r="L1198" i="1"/>
  <c r="K1197" i="1"/>
  <c r="J1197" i="1"/>
  <c r="J1196" i="1"/>
  <c r="K1194" i="1"/>
  <c r="M1188" i="1"/>
  <c r="L1188" i="1"/>
  <c r="M1187" i="1"/>
  <c r="L1187" i="1"/>
  <c r="J1186" i="1"/>
  <c r="J1185" i="1"/>
  <c r="J1184" i="1"/>
  <c r="J1183" i="1"/>
  <c r="K1186" i="1" s="1"/>
  <c r="K1181" i="1" s="1"/>
  <c r="L1177" i="1"/>
  <c r="M1177" i="1" s="1"/>
  <c r="L1176" i="1"/>
  <c r="M1176" i="1" s="1"/>
  <c r="L1178" i="1" s="1"/>
  <c r="L1170" i="1" s="1"/>
  <c r="J1175" i="1"/>
  <c r="J1174" i="1"/>
  <c r="K1175" i="1" s="1"/>
  <c r="J1173" i="1"/>
  <c r="J1172" i="1"/>
  <c r="K1170" i="1"/>
  <c r="M1170" i="1" s="1"/>
  <c r="L1179" i="1" s="1"/>
  <c r="L1162" i="1"/>
  <c r="M1162" i="1" s="1"/>
  <c r="M1161" i="1"/>
  <c r="L1161" i="1"/>
  <c r="M1160" i="1"/>
  <c r="L1160" i="1"/>
  <c r="L1159" i="1"/>
  <c r="M1159" i="1" s="1"/>
  <c r="L1158" i="1"/>
  <c r="M1158" i="1" s="1"/>
  <c r="M1157" i="1"/>
  <c r="L1157" i="1"/>
  <c r="K1156" i="1"/>
  <c r="K1154" i="1" s="1"/>
  <c r="J1156" i="1"/>
  <c r="M1147" i="1"/>
  <c r="L1147" i="1"/>
  <c r="L1146" i="1"/>
  <c r="M1146" i="1" s="1"/>
  <c r="M1145" i="1"/>
  <c r="L1145" i="1"/>
  <c r="L1144" i="1"/>
  <c r="M1144" i="1" s="1"/>
  <c r="L1148" i="1" s="1"/>
  <c r="J1143" i="1"/>
  <c r="J1142" i="1"/>
  <c r="J1141" i="1"/>
  <c r="J1140" i="1"/>
  <c r="K1143" i="1" s="1"/>
  <c r="K1138" i="1"/>
  <c r="L1134" i="1"/>
  <c r="M1133" i="1"/>
  <c r="L1133" i="1"/>
  <c r="L1132" i="1"/>
  <c r="M1132" i="1" s="1"/>
  <c r="M1131" i="1"/>
  <c r="L1131" i="1"/>
  <c r="L1130" i="1"/>
  <c r="M1130" i="1" s="1"/>
  <c r="M1129" i="1"/>
  <c r="L1129" i="1"/>
  <c r="J1128" i="1"/>
  <c r="J1127" i="1"/>
  <c r="K1128" i="1" s="1"/>
  <c r="K1125" i="1"/>
  <c r="L1117" i="1"/>
  <c r="M1117" i="1" s="1"/>
  <c r="M1116" i="1"/>
  <c r="L1116" i="1"/>
  <c r="L1115" i="1"/>
  <c r="M1115" i="1" s="1"/>
  <c r="M1114" i="1"/>
  <c r="L1114" i="1"/>
  <c r="L1113" i="1"/>
  <c r="M1113" i="1" s="1"/>
  <c r="M1112" i="1"/>
  <c r="L1112" i="1"/>
  <c r="L1111" i="1"/>
  <c r="M1111" i="1" s="1"/>
  <c r="L1110" i="1"/>
  <c r="M1110" i="1" s="1"/>
  <c r="L1109" i="1"/>
  <c r="M1109" i="1" s="1"/>
  <c r="M1108" i="1"/>
  <c r="L1108" i="1"/>
  <c r="L1107" i="1"/>
  <c r="M1107" i="1" s="1"/>
  <c r="L1106" i="1"/>
  <c r="M1106" i="1" s="1"/>
  <c r="L1105" i="1"/>
  <c r="M1105" i="1" s="1"/>
  <c r="M1104" i="1"/>
  <c r="L1104" i="1"/>
  <c r="L1103" i="1"/>
  <c r="M1103" i="1" s="1"/>
  <c r="L1102" i="1"/>
  <c r="M1102" i="1" s="1"/>
  <c r="J1101" i="1"/>
  <c r="K1101" i="1" s="1"/>
  <c r="K1099" i="1" s="1"/>
  <c r="L1091" i="1"/>
  <c r="M1091" i="1" s="1"/>
  <c r="L1090" i="1"/>
  <c r="M1090" i="1" s="1"/>
  <c r="M1089" i="1"/>
  <c r="L1089" i="1"/>
  <c r="L1088" i="1"/>
  <c r="M1088" i="1" s="1"/>
  <c r="L1092" i="1" s="1"/>
  <c r="J1087" i="1"/>
  <c r="J1086" i="1"/>
  <c r="K1087" i="1" s="1"/>
  <c r="K1084" i="1" s="1"/>
  <c r="M1078" i="1"/>
  <c r="L1078" i="1"/>
  <c r="L1077" i="1"/>
  <c r="M1077" i="1" s="1"/>
  <c r="M1076" i="1"/>
  <c r="L1076" i="1"/>
  <c r="M1075" i="1"/>
  <c r="L1075" i="1"/>
  <c r="M1074" i="1"/>
  <c r="L1074" i="1"/>
  <c r="L1073" i="1"/>
  <c r="M1073" i="1" s="1"/>
  <c r="L1079" i="1" s="1"/>
  <c r="M1079" i="1" s="1"/>
  <c r="K1072" i="1"/>
  <c r="K1070" i="1" s="1"/>
  <c r="J1072" i="1"/>
  <c r="M1064" i="1"/>
  <c r="L1064" i="1"/>
  <c r="L1063" i="1"/>
  <c r="M1063" i="1" s="1"/>
  <c r="M1062" i="1"/>
  <c r="L1062" i="1"/>
  <c r="L1061" i="1"/>
  <c r="M1061" i="1" s="1"/>
  <c r="L1060" i="1"/>
  <c r="M1060" i="1" s="1"/>
  <c r="L1065" i="1" s="1"/>
  <c r="J1059" i="1"/>
  <c r="K1059" i="1" s="1"/>
  <c r="K1057" i="1" s="1"/>
  <c r="M1049" i="1"/>
  <c r="L1049" i="1"/>
  <c r="L1048" i="1"/>
  <c r="M1048" i="1" s="1"/>
  <c r="M1047" i="1"/>
  <c r="L1050" i="1" s="1"/>
  <c r="L1047" i="1"/>
  <c r="K1046" i="1"/>
  <c r="L1044" i="1"/>
  <c r="M1044" i="1" s="1"/>
  <c r="L1043" i="1"/>
  <c r="M1043" i="1" s="1"/>
  <c r="M1042" i="1"/>
  <c r="L1042" i="1"/>
  <c r="K1041" i="1"/>
  <c r="L1037" i="1"/>
  <c r="M1037" i="1" s="1"/>
  <c r="M1036" i="1"/>
  <c r="L1036" i="1"/>
  <c r="L1035" i="1"/>
  <c r="M1035" i="1" s="1"/>
  <c r="M1034" i="1"/>
  <c r="L1034" i="1"/>
  <c r="J1033" i="1"/>
  <c r="J1032" i="1"/>
  <c r="J1031" i="1"/>
  <c r="J1030" i="1"/>
  <c r="M1026" i="1"/>
  <c r="L1026" i="1"/>
  <c r="L1025" i="1"/>
  <c r="M1025" i="1" s="1"/>
  <c r="L1027" i="1" s="1"/>
  <c r="M1024" i="1"/>
  <c r="L1024" i="1"/>
  <c r="L1023" i="1"/>
  <c r="M1023" i="1" s="1"/>
  <c r="K1022" i="1"/>
  <c r="K1017" i="1" s="1"/>
  <c r="J1022" i="1"/>
  <c r="J1021" i="1"/>
  <c r="J1020" i="1"/>
  <c r="J1019" i="1"/>
  <c r="L1015" i="1"/>
  <c r="M1015" i="1" s="1"/>
  <c r="M1014" i="1"/>
  <c r="L1014" i="1"/>
  <c r="L1013" i="1"/>
  <c r="M1013" i="1" s="1"/>
  <c r="M1012" i="1"/>
  <c r="L1016" i="1" s="1"/>
  <c r="L1012" i="1"/>
  <c r="K1011" i="1"/>
  <c r="M1009" i="1"/>
  <c r="L1009" i="1"/>
  <c r="L1008" i="1"/>
  <c r="M1008" i="1" s="1"/>
  <c r="M1007" i="1"/>
  <c r="L1007" i="1"/>
  <c r="L1006" i="1"/>
  <c r="M1006" i="1" s="1"/>
  <c r="K1005" i="1"/>
  <c r="M1003" i="1"/>
  <c r="L1003" i="1"/>
  <c r="L1002" i="1"/>
  <c r="M1002" i="1" s="1"/>
  <c r="M1001" i="1"/>
  <c r="L1001" i="1"/>
  <c r="M1000" i="1"/>
  <c r="L1004" i="1" s="1"/>
  <c r="L1000" i="1"/>
  <c r="M999" i="1"/>
  <c r="L999" i="1"/>
  <c r="K998" i="1"/>
  <c r="M996" i="1"/>
  <c r="L996" i="1"/>
  <c r="L995" i="1"/>
  <c r="M995" i="1" s="1"/>
  <c r="L994" i="1"/>
  <c r="M994" i="1" s="1"/>
  <c r="L993" i="1"/>
  <c r="M993" i="1" s="1"/>
  <c r="M992" i="1"/>
  <c r="L997" i="1" s="1"/>
  <c r="L992" i="1"/>
  <c r="K991" i="1"/>
  <c r="L987" i="1"/>
  <c r="M987" i="1" s="1"/>
  <c r="M986" i="1"/>
  <c r="L986" i="1"/>
  <c r="L985" i="1"/>
  <c r="M985" i="1" s="1"/>
  <c r="M984" i="1"/>
  <c r="L984" i="1"/>
  <c r="K983" i="1"/>
  <c r="M981" i="1"/>
  <c r="L981" i="1"/>
  <c r="L980" i="1"/>
  <c r="M980" i="1" s="1"/>
  <c r="M979" i="1"/>
  <c r="L979" i="1"/>
  <c r="L978" i="1"/>
  <c r="M978" i="1" s="1"/>
  <c r="L982" i="1" s="1"/>
  <c r="K977" i="1"/>
  <c r="L973" i="1"/>
  <c r="K973" i="1"/>
  <c r="M973" i="1" s="1"/>
  <c r="L971" i="1"/>
  <c r="M971" i="1" s="1"/>
  <c r="M970" i="1"/>
  <c r="L970" i="1"/>
  <c r="L969" i="1"/>
  <c r="M969" i="1" s="1"/>
  <c r="L972" i="1" s="1"/>
  <c r="K968" i="1"/>
  <c r="M966" i="1"/>
  <c r="L966" i="1"/>
  <c r="L965" i="1"/>
  <c r="M965" i="1" s="1"/>
  <c r="L967" i="1" s="1"/>
  <c r="M964" i="1"/>
  <c r="L964" i="1"/>
  <c r="K963" i="1"/>
  <c r="L961" i="1"/>
  <c r="M961" i="1" s="1"/>
  <c r="L960" i="1"/>
  <c r="M960" i="1" s="1"/>
  <c r="M959" i="1"/>
  <c r="L959" i="1"/>
  <c r="L958" i="1"/>
  <c r="M958" i="1" s="1"/>
  <c r="L957" i="1"/>
  <c r="M957" i="1" s="1"/>
  <c r="L956" i="1"/>
  <c r="M956" i="1" s="1"/>
  <c r="M955" i="1"/>
  <c r="L955" i="1"/>
  <c r="L954" i="1"/>
  <c r="M954" i="1" s="1"/>
  <c r="L953" i="1"/>
  <c r="M953" i="1" s="1"/>
  <c r="L952" i="1"/>
  <c r="M952" i="1" s="1"/>
  <c r="M951" i="1"/>
  <c r="L951" i="1"/>
  <c r="L950" i="1"/>
  <c r="M950" i="1" s="1"/>
  <c r="M949" i="1"/>
  <c r="L949" i="1"/>
  <c r="K948" i="1"/>
  <c r="L946" i="1"/>
  <c r="M946" i="1" s="1"/>
  <c r="M945" i="1"/>
  <c r="L945" i="1"/>
  <c r="L944" i="1"/>
  <c r="M944" i="1" s="1"/>
  <c r="M943" i="1"/>
  <c r="L943" i="1"/>
  <c r="L942" i="1"/>
  <c r="M942" i="1" s="1"/>
  <c r="M941" i="1"/>
  <c r="L941" i="1"/>
  <c r="L940" i="1"/>
  <c r="M940" i="1" s="1"/>
  <c r="M939" i="1"/>
  <c r="L939" i="1"/>
  <c r="L938" i="1"/>
  <c r="M938" i="1" s="1"/>
  <c r="M937" i="1"/>
  <c r="L937" i="1"/>
  <c r="M936" i="1"/>
  <c r="L936" i="1"/>
  <c r="M935" i="1"/>
  <c r="L935" i="1"/>
  <c r="L934" i="1"/>
  <c r="M934" i="1" s="1"/>
  <c r="K933" i="1"/>
  <c r="L931" i="1"/>
  <c r="M931" i="1" s="1"/>
  <c r="L930" i="1"/>
  <c r="M930" i="1" s="1"/>
  <c r="L929" i="1"/>
  <c r="M929" i="1" s="1"/>
  <c r="M928" i="1"/>
  <c r="L928" i="1"/>
  <c r="L927" i="1"/>
  <c r="M927" i="1" s="1"/>
  <c r="L926" i="1"/>
  <c r="M926" i="1" s="1"/>
  <c r="L925" i="1"/>
  <c r="M925" i="1" s="1"/>
  <c r="K924" i="1"/>
  <c r="M922" i="1"/>
  <c r="L922" i="1"/>
  <c r="L921" i="1"/>
  <c r="M921" i="1" s="1"/>
  <c r="M920" i="1"/>
  <c r="L920" i="1"/>
  <c r="L919" i="1"/>
  <c r="M919" i="1" s="1"/>
  <c r="M918" i="1"/>
  <c r="L918" i="1"/>
  <c r="M917" i="1"/>
  <c r="L917" i="1"/>
  <c r="M916" i="1"/>
  <c r="L916" i="1"/>
  <c r="L915" i="1"/>
  <c r="M915" i="1" s="1"/>
  <c r="M914" i="1"/>
  <c r="L914" i="1"/>
  <c r="M913" i="1"/>
  <c r="L913" i="1"/>
  <c r="M912" i="1"/>
  <c r="L912" i="1"/>
  <c r="L911" i="1"/>
  <c r="M911" i="1" s="1"/>
  <c r="J910" i="1"/>
  <c r="J909" i="1"/>
  <c r="J908" i="1"/>
  <c r="L904" i="1"/>
  <c r="M904" i="1" s="1"/>
  <c r="M903" i="1"/>
  <c r="L903" i="1"/>
  <c r="L902" i="1"/>
  <c r="M902" i="1" s="1"/>
  <c r="L901" i="1"/>
  <c r="M901" i="1" s="1"/>
  <c r="L900" i="1"/>
  <c r="M900" i="1" s="1"/>
  <c r="M899" i="1"/>
  <c r="L899" i="1"/>
  <c r="L898" i="1"/>
  <c r="M898" i="1" s="1"/>
  <c r="L897" i="1"/>
  <c r="M897" i="1" s="1"/>
  <c r="L896" i="1"/>
  <c r="M896" i="1" s="1"/>
  <c r="M895" i="1"/>
  <c r="L895" i="1"/>
  <c r="L894" i="1"/>
  <c r="M894" i="1" s="1"/>
  <c r="M893" i="1"/>
  <c r="L905" i="1" s="1"/>
  <c r="L893" i="1"/>
  <c r="J892" i="1"/>
  <c r="J891" i="1"/>
  <c r="J890" i="1"/>
  <c r="M886" i="1"/>
  <c r="L886" i="1"/>
  <c r="M885" i="1"/>
  <c r="L885" i="1"/>
  <c r="L884" i="1"/>
  <c r="M884" i="1" s="1"/>
  <c r="M883" i="1"/>
  <c r="L883" i="1"/>
  <c r="M882" i="1"/>
  <c r="L882" i="1"/>
  <c r="M881" i="1"/>
  <c r="L881" i="1"/>
  <c r="L880" i="1"/>
  <c r="M880" i="1" s="1"/>
  <c r="M879" i="1"/>
  <c r="L879" i="1"/>
  <c r="M878" i="1"/>
  <c r="L878" i="1"/>
  <c r="M877" i="1"/>
  <c r="L877" i="1"/>
  <c r="L876" i="1"/>
  <c r="M876" i="1" s="1"/>
  <c r="M875" i="1"/>
  <c r="L875" i="1"/>
  <c r="J874" i="1"/>
  <c r="J873" i="1"/>
  <c r="J872" i="1"/>
  <c r="J871" i="1"/>
  <c r="J870" i="1"/>
  <c r="J869" i="1"/>
  <c r="J868" i="1"/>
  <c r="J867" i="1"/>
  <c r="K874" i="1" s="1"/>
  <c r="K863" i="1" s="1"/>
  <c r="J866" i="1"/>
  <c r="J865" i="1"/>
  <c r="M861" i="1"/>
  <c r="L861" i="1"/>
  <c r="M860" i="1"/>
  <c r="L860" i="1"/>
  <c r="L859" i="1"/>
  <c r="M859" i="1" s="1"/>
  <c r="M858" i="1"/>
  <c r="L858" i="1"/>
  <c r="M857" i="1"/>
  <c r="L857" i="1"/>
  <c r="M856" i="1"/>
  <c r="L856" i="1"/>
  <c r="L855" i="1"/>
  <c r="M855" i="1" s="1"/>
  <c r="L862" i="1" s="1"/>
  <c r="K854" i="1"/>
  <c r="J854" i="1"/>
  <c r="K852" i="1"/>
  <c r="L848" i="1"/>
  <c r="M848" i="1" s="1"/>
  <c r="L847" i="1"/>
  <c r="M847" i="1" s="1"/>
  <c r="M846" i="1"/>
  <c r="L846" i="1"/>
  <c r="L845" i="1"/>
  <c r="M845" i="1" s="1"/>
  <c r="M844" i="1"/>
  <c r="L849" i="1" s="1"/>
  <c r="L844" i="1"/>
  <c r="K843" i="1"/>
  <c r="M841" i="1"/>
  <c r="L841" i="1"/>
  <c r="M840" i="1"/>
  <c r="L840" i="1"/>
  <c r="L839" i="1"/>
  <c r="M839" i="1" s="1"/>
  <c r="M838" i="1"/>
  <c r="L838" i="1"/>
  <c r="M837" i="1"/>
  <c r="L837" i="1"/>
  <c r="K836" i="1"/>
  <c r="L834" i="1"/>
  <c r="M834" i="1" s="1"/>
  <c r="L833" i="1"/>
  <c r="M833" i="1" s="1"/>
  <c r="L832" i="1"/>
  <c r="M832" i="1" s="1"/>
  <c r="L831" i="1"/>
  <c r="M831" i="1" s="1"/>
  <c r="L830" i="1"/>
  <c r="M830" i="1" s="1"/>
  <c r="L829" i="1"/>
  <c r="M829" i="1" s="1"/>
  <c r="L828" i="1"/>
  <c r="M828" i="1" s="1"/>
  <c r="K827" i="1"/>
  <c r="J827" i="1"/>
  <c r="K825" i="1"/>
  <c r="L823" i="1"/>
  <c r="M823" i="1" s="1"/>
  <c r="M822" i="1"/>
  <c r="L822" i="1"/>
  <c r="L821" i="1"/>
  <c r="M821" i="1" s="1"/>
  <c r="M820" i="1"/>
  <c r="L820" i="1"/>
  <c r="L819" i="1"/>
  <c r="M819" i="1" s="1"/>
  <c r="M818" i="1"/>
  <c r="L818" i="1"/>
  <c r="L817" i="1"/>
  <c r="M817" i="1" s="1"/>
  <c r="M816" i="1"/>
  <c r="L816" i="1"/>
  <c r="L815" i="1"/>
  <c r="M815" i="1" s="1"/>
  <c r="K814" i="1"/>
  <c r="L812" i="1"/>
  <c r="M812" i="1" s="1"/>
  <c r="L811" i="1"/>
  <c r="M811" i="1" s="1"/>
  <c r="L810" i="1"/>
  <c r="M810" i="1" s="1"/>
  <c r="L809" i="1"/>
  <c r="M809" i="1" s="1"/>
  <c r="L813" i="1" s="1"/>
  <c r="K808" i="1"/>
  <c r="M807" i="1"/>
  <c r="L807" i="1"/>
  <c r="K807" i="1"/>
  <c r="L803" i="1"/>
  <c r="M803" i="1" s="1"/>
  <c r="L802" i="1"/>
  <c r="M802" i="1" s="1"/>
  <c r="L801" i="1"/>
  <c r="M801" i="1" s="1"/>
  <c r="K800" i="1"/>
  <c r="M798" i="1"/>
  <c r="L798" i="1"/>
  <c r="M797" i="1"/>
  <c r="L797" i="1"/>
  <c r="M796" i="1"/>
  <c r="L796" i="1"/>
  <c r="L795" i="1"/>
  <c r="M795" i="1" s="1"/>
  <c r="L799" i="1" s="1"/>
  <c r="M794" i="1"/>
  <c r="L794" i="1"/>
  <c r="K793" i="1"/>
  <c r="L791" i="1"/>
  <c r="M791" i="1" s="1"/>
  <c r="L790" i="1"/>
  <c r="M790" i="1" s="1"/>
  <c r="L789" i="1"/>
  <c r="M789" i="1" s="1"/>
  <c r="L788" i="1"/>
  <c r="M788" i="1" s="1"/>
  <c r="M787" i="1"/>
  <c r="L792" i="1" s="1"/>
  <c r="L787" i="1"/>
  <c r="K786" i="1"/>
  <c r="L784" i="1"/>
  <c r="M784" i="1" s="1"/>
  <c r="M783" i="1"/>
  <c r="L783" i="1"/>
  <c r="L782" i="1"/>
  <c r="M782" i="1" s="1"/>
  <c r="M781" i="1"/>
  <c r="L781" i="1"/>
  <c r="L780" i="1"/>
  <c r="M780" i="1" s="1"/>
  <c r="K779" i="1"/>
  <c r="L775" i="1"/>
  <c r="K775" i="1"/>
  <c r="L771" i="1"/>
  <c r="M771" i="1" s="1"/>
  <c r="M770" i="1"/>
  <c r="L770" i="1"/>
  <c r="M769" i="1"/>
  <c r="L769" i="1"/>
  <c r="M768" i="1"/>
  <c r="L768" i="1"/>
  <c r="K767" i="1"/>
  <c r="M765" i="1"/>
  <c r="L765" i="1"/>
  <c r="L764" i="1"/>
  <c r="M764" i="1" s="1"/>
  <c r="M763" i="1"/>
  <c r="L763" i="1"/>
  <c r="L762" i="1"/>
  <c r="M762" i="1" s="1"/>
  <c r="M761" i="1"/>
  <c r="L766" i="1" s="1"/>
  <c r="L761" i="1"/>
  <c r="J760" i="1"/>
  <c r="K760" i="1" s="1"/>
  <c r="K758" i="1" s="1"/>
  <c r="M756" i="1"/>
  <c r="L756" i="1"/>
  <c r="L755" i="1"/>
  <c r="M755" i="1" s="1"/>
  <c r="M754" i="1"/>
  <c r="L754" i="1"/>
  <c r="M753" i="1"/>
  <c r="L753" i="1"/>
  <c r="M752" i="1"/>
  <c r="L757" i="1" s="1"/>
  <c r="L746" i="1" s="1"/>
  <c r="L752" i="1"/>
  <c r="J751" i="1"/>
  <c r="J750" i="1"/>
  <c r="J749" i="1"/>
  <c r="J748" i="1"/>
  <c r="K751" i="1" s="1"/>
  <c r="K746" i="1" s="1"/>
  <c r="M742" i="1"/>
  <c r="L742" i="1"/>
  <c r="L741" i="1"/>
  <c r="M741" i="1" s="1"/>
  <c r="M740" i="1"/>
  <c r="L740" i="1"/>
  <c r="L739" i="1"/>
  <c r="M739" i="1" s="1"/>
  <c r="K738" i="1"/>
  <c r="L736" i="1"/>
  <c r="M736" i="1" s="1"/>
  <c r="M735" i="1"/>
  <c r="L735" i="1"/>
  <c r="L734" i="1"/>
  <c r="M734" i="1" s="1"/>
  <c r="M733" i="1"/>
  <c r="L737" i="1" s="1"/>
  <c r="L733" i="1"/>
  <c r="K732" i="1"/>
  <c r="M730" i="1"/>
  <c r="L730" i="1"/>
  <c r="M729" i="1"/>
  <c r="L729" i="1"/>
  <c r="L728" i="1"/>
  <c r="M728" i="1" s="1"/>
  <c r="M727" i="1"/>
  <c r="L727" i="1"/>
  <c r="K726" i="1"/>
  <c r="L724" i="1"/>
  <c r="M724" i="1" s="1"/>
  <c r="L723" i="1"/>
  <c r="M723" i="1" s="1"/>
  <c r="L722" i="1"/>
  <c r="M722" i="1" s="1"/>
  <c r="L725" i="1" s="1"/>
  <c r="L721" i="1"/>
  <c r="M721" i="1" s="1"/>
  <c r="K720" i="1"/>
  <c r="M716" i="1"/>
  <c r="L716" i="1"/>
  <c r="M714" i="1"/>
  <c r="L714" i="1"/>
  <c r="M713" i="1"/>
  <c r="L713" i="1"/>
  <c r="M712" i="1"/>
  <c r="L715" i="1" s="1"/>
  <c r="L712" i="1"/>
  <c r="L709" i="1"/>
  <c r="M709" i="1" s="1"/>
  <c r="M708" i="1"/>
  <c r="L708" i="1"/>
  <c r="M707" i="1"/>
  <c r="L710" i="1" s="1"/>
  <c r="L707" i="1"/>
  <c r="M704" i="1"/>
  <c r="L704" i="1"/>
  <c r="L703" i="1"/>
  <c r="M703" i="1" s="1"/>
  <c r="M702" i="1"/>
  <c r="L702" i="1"/>
  <c r="M701" i="1"/>
  <c r="L705" i="1" s="1"/>
  <c r="L701" i="1"/>
  <c r="M698" i="1"/>
  <c r="L698" i="1"/>
  <c r="L697" i="1"/>
  <c r="M697" i="1" s="1"/>
  <c r="M696" i="1"/>
  <c r="L696" i="1"/>
  <c r="L695" i="1"/>
  <c r="M695" i="1" s="1"/>
  <c r="L693" i="1"/>
  <c r="M693" i="1" s="1"/>
  <c r="M692" i="1"/>
  <c r="L692" i="1"/>
  <c r="M691" i="1"/>
  <c r="L691" i="1"/>
  <c r="M690" i="1"/>
  <c r="L690" i="1"/>
  <c r="K689" i="1"/>
  <c r="M687" i="1"/>
  <c r="L687" i="1"/>
  <c r="L686" i="1"/>
  <c r="M686" i="1" s="1"/>
  <c r="M685" i="1"/>
  <c r="L688" i="1" s="1"/>
  <c r="L685" i="1"/>
  <c r="K684" i="1"/>
  <c r="M682" i="1"/>
  <c r="L682" i="1"/>
  <c r="M681" i="1"/>
  <c r="L681" i="1"/>
  <c r="L680" i="1"/>
  <c r="M680" i="1" s="1"/>
  <c r="L683" i="1" s="1"/>
  <c r="K679" i="1"/>
  <c r="L675" i="1"/>
  <c r="M675" i="1" s="1"/>
  <c r="L674" i="1"/>
  <c r="M674" i="1" s="1"/>
  <c r="L673" i="1"/>
  <c r="M673" i="1" s="1"/>
  <c r="L672" i="1"/>
  <c r="M672" i="1" s="1"/>
  <c r="L676" i="1" s="1"/>
  <c r="L669" i="1" s="1"/>
  <c r="J671" i="1"/>
  <c r="K671" i="1" s="1"/>
  <c r="K669" i="1" s="1"/>
  <c r="M669" i="1" s="1"/>
  <c r="M667" i="1"/>
  <c r="L667" i="1"/>
  <c r="L666" i="1"/>
  <c r="M666" i="1" s="1"/>
  <c r="L665" i="1"/>
  <c r="M665" i="1" s="1"/>
  <c r="L664" i="1"/>
  <c r="M664" i="1" s="1"/>
  <c r="L668" i="1" s="1"/>
  <c r="K663" i="1"/>
  <c r="K661" i="1" s="1"/>
  <c r="J663" i="1"/>
  <c r="L659" i="1"/>
  <c r="M659" i="1" s="1"/>
  <c r="L658" i="1"/>
  <c r="M658" i="1" s="1"/>
  <c r="M657" i="1"/>
  <c r="L657" i="1"/>
  <c r="M656" i="1"/>
  <c r="L656" i="1"/>
  <c r="J655" i="1"/>
  <c r="J654" i="1"/>
  <c r="J653" i="1"/>
  <c r="J652" i="1"/>
  <c r="J651" i="1"/>
  <c r="J650" i="1"/>
  <c r="M646" i="1"/>
  <c r="L646" i="1"/>
  <c r="M645" i="1"/>
  <c r="L645" i="1"/>
  <c r="L644" i="1"/>
  <c r="M644" i="1" s="1"/>
  <c r="L643" i="1"/>
  <c r="M643" i="1" s="1"/>
  <c r="L647" i="1" s="1"/>
  <c r="J642" i="1"/>
  <c r="J641" i="1"/>
  <c r="K642" i="1" s="1"/>
  <c r="K637" i="1" s="1"/>
  <c r="J640" i="1"/>
  <c r="J639" i="1"/>
  <c r="L634" i="1"/>
  <c r="L633" i="1"/>
  <c r="M633" i="1" s="1"/>
  <c r="M632" i="1"/>
  <c r="L632" i="1"/>
  <c r="M631" i="1"/>
  <c r="L631" i="1"/>
  <c r="L630" i="1"/>
  <c r="M630" i="1" s="1"/>
  <c r="J629" i="1"/>
  <c r="J628" i="1"/>
  <c r="K629" i="1" s="1"/>
  <c r="K626" i="1" s="1"/>
  <c r="L624" i="1"/>
  <c r="M624" i="1" s="1"/>
  <c r="M623" i="1"/>
  <c r="L623" i="1"/>
  <c r="M622" i="1"/>
  <c r="L622" i="1"/>
  <c r="L621" i="1"/>
  <c r="M621" i="1" s="1"/>
  <c r="L625" i="1" s="1"/>
  <c r="J620" i="1"/>
  <c r="K620" i="1" s="1"/>
  <c r="K618" i="1" s="1"/>
  <c r="M616" i="1"/>
  <c r="L616" i="1"/>
  <c r="L615" i="1"/>
  <c r="M615" i="1" s="1"/>
  <c r="L614" i="1"/>
  <c r="M614" i="1" s="1"/>
  <c r="L613" i="1"/>
  <c r="M613" i="1" s="1"/>
  <c r="L617" i="1" s="1"/>
  <c r="K612" i="1"/>
  <c r="K610" i="1" s="1"/>
  <c r="J612" i="1"/>
  <c r="L608" i="1"/>
  <c r="M608" i="1" s="1"/>
  <c r="L607" i="1"/>
  <c r="M607" i="1" s="1"/>
  <c r="M606" i="1"/>
  <c r="L606" i="1"/>
  <c r="M605" i="1"/>
  <c r="L605" i="1"/>
  <c r="J604" i="1"/>
  <c r="J603" i="1"/>
  <c r="J602" i="1"/>
  <c r="J601" i="1"/>
  <c r="J600" i="1"/>
  <c r="J599" i="1"/>
  <c r="J598" i="1"/>
  <c r="J597" i="1"/>
  <c r="J596" i="1"/>
  <c r="J595" i="1"/>
  <c r="J594" i="1"/>
  <c r="K604" i="1" s="1"/>
  <c r="K592" i="1" s="1"/>
  <c r="L588" i="1"/>
  <c r="M588" i="1" s="1"/>
  <c r="L587" i="1"/>
  <c r="M587" i="1" s="1"/>
  <c r="M586" i="1"/>
  <c r="L586" i="1"/>
  <c r="K585" i="1"/>
  <c r="L583" i="1"/>
  <c r="M583" i="1" s="1"/>
  <c r="L582" i="1"/>
  <c r="M582" i="1" s="1"/>
  <c r="M581" i="1"/>
  <c r="L581" i="1"/>
  <c r="K580" i="1"/>
  <c r="L578" i="1"/>
  <c r="M578" i="1" s="1"/>
  <c r="L577" i="1"/>
  <c r="M577" i="1" s="1"/>
  <c r="L576" i="1"/>
  <c r="M576" i="1" s="1"/>
  <c r="K575" i="1"/>
  <c r="M573" i="1"/>
  <c r="L573" i="1"/>
  <c r="L572" i="1"/>
  <c r="M572" i="1" s="1"/>
  <c r="L571" i="1"/>
  <c r="M571" i="1" s="1"/>
  <c r="L574" i="1" s="1"/>
  <c r="K570" i="1"/>
  <c r="M568" i="1"/>
  <c r="L568" i="1"/>
  <c r="L567" i="1"/>
  <c r="M567" i="1" s="1"/>
  <c r="L566" i="1"/>
  <c r="M566" i="1" s="1"/>
  <c r="K565" i="1"/>
  <c r="M563" i="1"/>
  <c r="L563" i="1"/>
  <c r="M562" i="1"/>
  <c r="L562" i="1"/>
  <c r="L561" i="1"/>
  <c r="M561" i="1" s="1"/>
  <c r="L564" i="1" s="1"/>
  <c r="K560" i="1"/>
  <c r="L558" i="1"/>
  <c r="M558" i="1" s="1"/>
  <c r="M557" i="1"/>
  <c r="L557" i="1"/>
  <c r="L556" i="1"/>
  <c r="M556" i="1" s="1"/>
  <c r="L559" i="1" s="1"/>
  <c r="K555" i="1"/>
  <c r="L553" i="1"/>
  <c r="M553" i="1" s="1"/>
  <c r="M552" i="1"/>
  <c r="L552" i="1"/>
  <c r="M551" i="1"/>
  <c r="L554" i="1" s="1"/>
  <c r="L551" i="1"/>
  <c r="K550" i="1"/>
  <c r="L548" i="1"/>
  <c r="M548" i="1" s="1"/>
  <c r="L547" i="1"/>
  <c r="M547" i="1" s="1"/>
  <c r="M546" i="1"/>
  <c r="L549" i="1" s="1"/>
  <c r="L546" i="1"/>
  <c r="K545" i="1"/>
  <c r="L543" i="1"/>
  <c r="M543" i="1" s="1"/>
  <c r="L542" i="1"/>
  <c r="M542" i="1" s="1"/>
  <c r="M541" i="1"/>
  <c r="L541" i="1"/>
  <c r="M540" i="1"/>
  <c r="L540" i="1"/>
  <c r="L539" i="1"/>
  <c r="M539" i="1" s="1"/>
  <c r="L538" i="1"/>
  <c r="M538" i="1" s="1"/>
  <c r="L544" i="1" s="1"/>
  <c r="L537" i="1" s="1"/>
  <c r="K537" i="1"/>
  <c r="L533" i="1"/>
  <c r="M533" i="1" s="1"/>
  <c r="L532" i="1"/>
  <c r="M532" i="1" s="1"/>
  <c r="M531" i="1"/>
  <c r="L531" i="1"/>
  <c r="L530" i="1"/>
  <c r="M530" i="1" s="1"/>
  <c r="L534" i="1" s="1"/>
  <c r="J529" i="1"/>
  <c r="K529" i="1" s="1"/>
  <c r="K527" i="1" s="1"/>
  <c r="M525" i="1"/>
  <c r="L525" i="1"/>
  <c r="M524" i="1"/>
  <c r="L524" i="1"/>
  <c r="L523" i="1"/>
  <c r="M523" i="1" s="1"/>
  <c r="L522" i="1"/>
  <c r="M522" i="1" s="1"/>
  <c r="K521" i="1"/>
  <c r="K519" i="1" s="1"/>
  <c r="J521" i="1"/>
  <c r="L517" i="1"/>
  <c r="M517" i="1" s="1"/>
  <c r="L516" i="1"/>
  <c r="M516" i="1" s="1"/>
  <c r="L515" i="1"/>
  <c r="M515" i="1" s="1"/>
  <c r="M514" i="1"/>
  <c r="L514" i="1"/>
  <c r="J513" i="1"/>
  <c r="K513" i="1" s="1"/>
  <c r="K511" i="1" s="1"/>
  <c r="L509" i="1"/>
  <c r="M509" i="1" s="1"/>
  <c r="M508" i="1"/>
  <c r="L508" i="1"/>
  <c r="M507" i="1"/>
  <c r="L507" i="1"/>
  <c r="L506" i="1"/>
  <c r="M506" i="1" s="1"/>
  <c r="L505" i="1"/>
  <c r="M505" i="1" s="1"/>
  <c r="M504" i="1"/>
  <c r="L504" i="1"/>
  <c r="M503" i="1"/>
  <c r="L510" i="1" s="1"/>
  <c r="L503" i="1"/>
  <c r="L502" i="1"/>
  <c r="M502" i="1" s="1"/>
  <c r="L501" i="1"/>
  <c r="M501" i="1" s="1"/>
  <c r="K500" i="1"/>
  <c r="M498" i="1"/>
  <c r="L498" i="1"/>
  <c r="L497" i="1"/>
  <c r="M497" i="1" s="1"/>
  <c r="L496" i="1"/>
  <c r="M496" i="1" s="1"/>
  <c r="L499" i="1" s="1"/>
  <c r="K495" i="1"/>
  <c r="L487" i="1"/>
  <c r="M487" i="1" s="1"/>
  <c r="L486" i="1"/>
  <c r="M486" i="1" s="1"/>
  <c r="M485" i="1"/>
  <c r="L485" i="1"/>
  <c r="M484" i="1"/>
  <c r="L484" i="1"/>
  <c r="L483" i="1"/>
  <c r="M483" i="1" s="1"/>
  <c r="L482" i="1"/>
  <c r="M482" i="1" s="1"/>
  <c r="M481" i="1"/>
  <c r="L481" i="1"/>
  <c r="M480" i="1"/>
  <c r="L480" i="1"/>
  <c r="J479" i="1"/>
  <c r="K479" i="1" s="1"/>
  <c r="K477" i="1"/>
  <c r="L469" i="1"/>
  <c r="M469" i="1" s="1"/>
  <c r="L468" i="1"/>
  <c r="M468" i="1" s="1"/>
  <c r="M467" i="1"/>
  <c r="L467" i="1"/>
  <c r="M466" i="1"/>
  <c r="L466" i="1"/>
  <c r="M465" i="1"/>
  <c r="L465" i="1"/>
  <c r="L464" i="1"/>
  <c r="M464" i="1" s="1"/>
  <c r="J463" i="1"/>
  <c r="K463" i="1" s="1"/>
  <c r="K461" i="1"/>
  <c r="M455" i="1"/>
  <c r="L455" i="1"/>
  <c r="L454" i="1"/>
  <c r="M454" i="1" s="1"/>
  <c r="L453" i="1"/>
  <c r="M453" i="1" s="1"/>
  <c r="M452" i="1"/>
  <c r="L452" i="1"/>
  <c r="M451" i="1"/>
  <c r="L451" i="1"/>
  <c r="L450" i="1"/>
  <c r="M450" i="1" s="1"/>
  <c r="L449" i="1"/>
  <c r="M449" i="1" s="1"/>
  <c r="L448" i="1"/>
  <c r="M448" i="1" s="1"/>
  <c r="M447" i="1"/>
  <c r="L447" i="1"/>
  <c r="J446" i="1"/>
  <c r="K446" i="1" s="1"/>
  <c r="K444" i="1" s="1"/>
  <c r="M438" i="1"/>
  <c r="L438" i="1"/>
  <c r="M437" i="1"/>
  <c r="L437" i="1"/>
  <c r="L436" i="1"/>
  <c r="M436" i="1" s="1"/>
  <c r="M435" i="1"/>
  <c r="L435" i="1"/>
  <c r="M434" i="1"/>
  <c r="L434" i="1"/>
  <c r="M433" i="1"/>
  <c r="L433" i="1"/>
  <c r="L432" i="1"/>
  <c r="M432" i="1" s="1"/>
  <c r="M431" i="1"/>
  <c r="L431" i="1"/>
  <c r="M430" i="1"/>
  <c r="L430" i="1"/>
  <c r="K429" i="1"/>
  <c r="J429" i="1"/>
  <c r="K427" i="1"/>
  <c r="M421" i="1"/>
  <c r="L421" i="1"/>
  <c r="L420" i="1"/>
  <c r="M420" i="1" s="1"/>
  <c r="L419" i="1"/>
  <c r="M419" i="1" s="1"/>
  <c r="L418" i="1"/>
  <c r="M418" i="1" s="1"/>
  <c r="M417" i="1"/>
  <c r="L417" i="1"/>
  <c r="L416" i="1"/>
  <c r="M416" i="1" s="1"/>
  <c r="L422" i="1" s="1"/>
  <c r="J415" i="1"/>
  <c r="K415" i="1" s="1"/>
  <c r="K413" i="1" s="1"/>
  <c r="M405" i="1"/>
  <c r="L405" i="1"/>
  <c r="M404" i="1"/>
  <c r="L404" i="1"/>
  <c r="L403" i="1"/>
  <c r="M403" i="1" s="1"/>
  <c r="M402" i="1"/>
  <c r="L402" i="1"/>
  <c r="M401" i="1"/>
  <c r="L401" i="1"/>
  <c r="M400" i="1"/>
  <c r="L400" i="1"/>
  <c r="L399" i="1"/>
  <c r="M399" i="1" s="1"/>
  <c r="K398" i="1"/>
  <c r="K396" i="1" s="1"/>
  <c r="J398" i="1"/>
  <c r="L390" i="1"/>
  <c r="M390" i="1" s="1"/>
  <c r="L389" i="1"/>
  <c r="M389" i="1" s="1"/>
  <c r="M388" i="1"/>
  <c r="L388" i="1"/>
  <c r="L387" i="1"/>
  <c r="M387" i="1" s="1"/>
  <c r="L386" i="1"/>
  <c r="M386" i="1" s="1"/>
  <c r="L385" i="1"/>
  <c r="M385" i="1" s="1"/>
  <c r="M384" i="1"/>
  <c r="L384" i="1"/>
  <c r="L383" i="1"/>
  <c r="M383" i="1" s="1"/>
  <c r="L382" i="1"/>
  <c r="M382" i="1" s="1"/>
  <c r="L381" i="1"/>
  <c r="M381" i="1" s="1"/>
  <c r="M380" i="1"/>
  <c r="L380" i="1"/>
  <c r="L379" i="1"/>
  <c r="M379" i="1" s="1"/>
  <c r="L378" i="1"/>
  <c r="M378" i="1" s="1"/>
  <c r="L377" i="1"/>
  <c r="M377" i="1" s="1"/>
  <c r="M376" i="1"/>
  <c r="L376" i="1"/>
  <c r="L375" i="1"/>
  <c r="M375" i="1" s="1"/>
  <c r="L374" i="1"/>
  <c r="M374" i="1" s="1"/>
  <c r="L373" i="1"/>
  <c r="M373" i="1" s="1"/>
  <c r="K372" i="1"/>
  <c r="J372" i="1"/>
  <c r="J371" i="1"/>
  <c r="J370" i="1"/>
  <c r="K368" i="1"/>
  <c r="M362" i="1"/>
  <c r="L362" i="1"/>
  <c r="L361" i="1"/>
  <c r="M361" i="1" s="1"/>
  <c r="M360" i="1"/>
  <c r="L360" i="1"/>
  <c r="M359" i="1"/>
  <c r="L359" i="1"/>
  <c r="M358" i="1"/>
  <c r="L358" i="1"/>
  <c r="L357" i="1"/>
  <c r="M357" i="1" s="1"/>
  <c r="M356" i="1"/>
  <c r="L356" i="1"/>
  <c r="M355" i="1"/>
  <c r="L355" i="1"/>
  <c r="M354" i="1"/>
  <c r="L354" i="1"/>
  <c r="L353" i="1"/>
  <c r="M353" i="1" s="1"/>
  <c r="K352" i="1"/>
  <c r="K350" i="1" s="1"/>
  <c r="J352" i="1"/>
  <c r="L342" i="1"/>
  <c r="M342" i="1" s="1"/>
  <c r="L341" i="1"/>
  <c r="M341" i="1" s="1"/>
  <c r="L340" i="1"/>
  <c r="M340" i="1" s="1"/>
  <c r="L339" i="1"/>
  <c r="M339" i="1" s="1"/>
  <c r="L338" i="1"/>
  <c r="M338" i="1" s="1"/>
  <c r="L337" i="1"/>
  <c r="M337" i="1" s="1"/>
  <c r="L336" i="1"/>
  <c r="M336" i="1" s="1"/>
  <c r="L335" i="1"/>
  <c r="M335" i="1" s="1"/>
  <c r="L334" i="1"/>
  <c r="M334" i="1" s="1"/>
  <c r="L333" i="1"/>
  <c r="M333" i="1" s="1"/>
  <c r="L332" i="1"/>
  <c r="M332" i="1" s="1"/>
  <c r="L331" i="1"/>
  <c r="M331" i="1" s="1"/>
  <c r="L330" i="1"/>
  <c r="M330" i="1" s="1"/>
  <c r="L329" i="1"/>
  <c r="M329" i="1" s="1"/>
  <c r="L328" i="1"/>
  <c r="M328" i="1" s="1"/>
  <c r="L327" i="1"/>
  <c r="M327" i="1" s="1"/>
  <c r="L326" i="1"/>
  <c r="M326" i="1" s="1"/>
  <c r="L325" i="1"/>
  <c r="M325" i="1" s="1"/>
  <c r="L343" i="1" s="1"/>
  <c r="J324" i="1"/>
  <c r="K324" i="1" s="1"/>
  <c r="K322" i="1" s="1"/>
  <c r="L320" i="1"/>
  <c r="M320" i="1" s="1"/>
  <c r="M319" i="1"/>
  <c r="L319" i="1"/>
  <c r="M318" i="1"/>
  <c r="L318" i="1"/>
  <c r="M317" i="1"/>
  <c r="L317" i="1"/>
  <c r="L316" i="1"/>
  <c r="M316" i="1" s="1"/>
  <c r="M315" i="1"/>
  <c r="L315" i="1"/>
  <c r="M314" i="1"/>
  <c r="L314" i="1"/>
  <c r="M313" i="1"/>
  <c r="L313" i="1"/>
  <c r="L312" i="1"/>
  <c r="M312" i="1" s="1"/>
  <c r="M311" i="1"/>
  <c r="L311" i="1"/>
  <c r="M310" i="1"/>
  <c r="L310" i="1"/>
  <c r="M309" i="1"/>
  <c r="L309" i="1"/>
  <c r="L308" i="1"/>
  <c r="M308" i="1" s="1"/>
  <c r="M307" i="1"/>
  <c r="L307" i="1"/>
  <c r="M306" i="1"/>
  <c r="L306" i="1"/>
  <c r="M305" i="1"/>
  <c r="L305" i="1"/>
  <c r="L304" i="1"/>
  <c r="M304" i="1" s="1"/>
  <c r="M303" i="1"/>
  <c r="L303" i="1"/>
  <c r="K302" i="1"/>
  <c r="K300" i="1" s="1"/>
  <c r="J302" i="1"/>
  <c r="L294" i="1"/>
  <c r="M294" i="1" s="1"/>
  <c r="L293" i="1"/>
  <c r="M293" i="1" s="1"/>
  <c r="L292" i="1"/>
  <c r="M292" i="1" s="1"/>
  <c r="L291" i="1"/>
  <c r="M291" i="1" s="1"/>
  <c r="L290" i="1"/>
  <c r="M290" i="1" s="1"/>
  <c r="J289" i="1"/>
  <c r="K289" i="1" s="1"/>
  <c r="K285" i="1" s="1"/>
  <c r="J288" i="1"/>
  <c r="J287" i="1"/>
  <c r="M281" i="1"/>
  <c r="L281" i="1"/>
  <c r="M280" i="1"/>
  <c r="L280" i="1"/>
  <c r="M279" i="1"/>
  <c r="L279" i="1"/>
  <c r="L278" i="1"/>
  <c r="M278" i="1" s="1"/>
  <c r="M277" i="1"/>
  <c r="L282" i="1" s="1"/>
  <c r="L277" i="1"/>
  <c r="K276" i="1"/>
  <c r="K273" i="1" s="1"/>
  <c r="J276" i="1"/>
  <c r="J275" i="1"/>
  <c r="L269" i="1"/>
  <c r="M269" i="1" s="1"/>
  <c r="M268" i="1"/>
  <c r="L268" i="1"/>
  <c r="M267" i="1"/>
  <c r="L267" i="1"/>
  <c r="M266" i="1"/>
  <c r="L266" i="1"/>
  <c r="L265" i="1"/>
  <c r="M265" i="1" s="1"/>
  <c r="K264" i="1"/>
  <c r="K262" i="1" s="1"/>
  <c r="J264" i="1"/>
  <c r="L254" i="1"/>
  <c r="M254" i="1" s="1"/>
  <c r="L253" i="1"/>
  <c r="M253" i="1" s="1"/>
  <c r="L252" i="1"/>
  <c r="M252" i="1" s="1"/>
  <c r="L251" i="1"/>
  <c r="M251" i="1" s="1"/>
  <c r="L250" i="1"/>
  <c r="M250" i="1" s="1"/>
  <c r="L249" i="1"/>
  <c r="M249" i="1" s="1"/>
  <c r="L248" i="1"/>
  <c r="M248" i="1" s="1"/>
  <c r="L247" i="1"/>
  <c r="M247" i="1" s="1"/>
  <c r="L255" i="1" s="1"/>
  <c r="L246" i="1"/>
  <c r="M246" i="1" s="1"/>
  <c r="J245" i="1"/>
  <c r="K245" i="1" s="1"/>
  <c r="K243" i="1" s="1"/>
  <c r="M241" i="1"/>
  <c r="L241" i="1"/>
  <c r="L240" i="1"/>
  <c r="M240" i="1" s="1"/>
  <c r="M239" i="1"/>
  <c r="L239" i="1"/>
  <c r="M238" i="1"/>
  <c r="L238" i="1"/>
  <c r="M237" i="1"/>
  <c r="L237" i="1"/>
  <c r="L236" i="1"/>
  <c r="M236" i="1" s="1"/>
  <c r="M235" i="1"/>
  <c r="L235" i="1"/>
  <c r="M234" i="1"/>
  <c r="L234" i="1"/>
  <c r="M233" i="1"/>
  <c r="L233" i="1"/>
  <c r="J232" i="1"/>
  <c r="K232" i="1" s="1"/>
  <c r="K230" i="1"/>
  <c r="L224" i="1"/>
  <c r="M224" i="1" s="1"/>
  <c r="L223" i="1"/>
  <c r="M223" i="1" s="1"/>
  <c r="L222" i="1"/>
  <c r="M222" i="1" s="1"/>
  <c r="L221" i="1"/>
  <c r="M221" i="1" s="1"/>
  <c r="L220" i="1"/>
  <c r="M220" i="1" s="1"/>
  <c r="L219" i="1"/>
  <c r="M219" i="1" s="1"/>
  <c r="L218" i="1"/>
  <c r="M218" i="1" s="1"/>
  <c r="L217" i="1"/>
  <c r="M217" i="1" s="1"/>
  <c r="L216" i="1"/>
  <c r="M216" i="1" s="1"/>
  <c r="J215" i="1"/>
  <c r="K215" i="1" s="1"/>
  <c r="K213" i="1" s="1"/>
  <c r="M209" i="1"/>
  <c r="L209" i="1"/>
  <c r="M208" i="1"/>
  <c r="L208" i="1"/>
  <c r="L207" i="1"/>
  <c r="M207" i="1" s="1"/>
  <c r="M206" i="1"/>
  <c r="L206" i="1"/>
  <c r="M205" i="1"/>
  <c r="L205" i="1"/>
  <c r="M204" i="1"/>
  <c r="L204" i="1"/>
  <c r="L203" i="1"/>
  <c r="M203" i="1" s="1"/>
  <c r="M202" i="1"/>
  <c r="L202" i="1"/>
  <c r="M201" i="1"/>
  <c r="L201" i="1"/>
  <c r="K200" i="1"/>
  <c r="J200" i="1"/>
  <c r="K198" i="1"/>
  <c r="L193" i="1"/>
  <c r="L192" i="1"/>
  <c r="M192" i="1" s="1"/>
  <c r="L191" i="1"/>
  <c r="M191" i="1" s="1"/>
  <c r="L190" i="1"/>
  <c r="M190" i="1" s="1"/>
  <c r="L189" i="1"/>
  <c r="M189" i="1" s="1"/>
  <c r="L188" i="1"/>
  <c r="M188" i="1" s="1"/>
  <c r="L187" i="1"/>
  <c r="M187" i="1" s="1"/>
  <c r="L186" i="1"/>
  <c r="M186" i="1" s="1"/>
  <c r="J185" i="1"/>
  <c r="K185" i="1" s="1"/>
  <c r="K183" i="1" s="1"/>
  <c r="M181" i="1"/>
  <c r="L181" i="1"/>
  <c r="M180" i="1"/>
  <c r="L180" i="1"/>
  <c r="M179" i="1"/>
  <c r="L179" i="1"/>
  <c r="L178" i="1"/>
  <c r="M178" i="1" s="1"/>
  <c r="M177" i="1"/>
  <c r="L177" i="1"/>
  <c r="M176" i="1"/>
  <c r="L176" i="1"/>
  <c r="M175" i="1"/>
  <c r="L175" i="1"/>
  <c r="L174" i="1"/>
  <c r="M174" i="1" s="1"/>
  <c r="M173" i="1"/>
  <c r="L182" i="1" s="1"/>
  <c r="L173" i="1"/>
  <c r="K172" i="1"/>
  <c r="K170" i="1" s="1"/>
  <c r="J172" i="1"/>
  <c r="L164" i="1"/>
  <c r="M164" i="1" s="1"/>
  <c r="L163" i="1"/>
  <c r="M163" i="1" s="1"/>
  <c r="L162" i="1"/>
  <c r="M162" i="1" s="1"/>
  <c r="L161" i="1"/>
  <c r="M161" i="1" s="1"/>
  <c r="L165" i="1" s="1"/>
  <c r="J160" i="1"/>
  <c r="K160" i="1" s="1"/>
  <c r="K158" i="1" s="1"/>
  <c r="M150" i="1"/>
  <c r="L150" i="1"/>
  <c r="L149" i="1"/>
  <c r="M149" i="1" s="1"/>
  <c r="M148" i="1"/>
  <c r="L148" i="1"/>
  <c r="M147" i="1"/>
  <c r="L147" i="1"/>
  <c r="M146" i="1"/>
  <c r="L146" i="1"/>
  <c r="L145" i="1"/>
  <c r="M145" i="1" s="1"/>
  <c r="M144" i="1"/>
  <c r="L144" i="1"/>
  <c r="M143" i="1"/>
  <c r="L143" i="1"/>
  <c r="M142" i="1"/>
  <c r="L142" i="1"/>
  <c r="L141" i="1"/>
  <c r="M141" i="1" s="1"/>
  <c r="M140" i="1"/>
  <c r="L151" i="1" s="1"/>
  <c r="L135" i="1" s="1"/>
  <c r="L140" i="1"/>
  <c r="K139" i="1"/>
  <c r="K135" i="1" s="1"/>
  <c r="J137" i="1"/>
  <c r="L133" i="1"/>
  <c r="M133" i="1" s="1"/>
  <c r="L132" i="1"/>
  <c r="M132" i="1" s="1"/>
  <c r="L131" i="1"/>
  <c r="M131" i="1" s="1"/>
  <c r="L130" i="1"/>
  <c r="M130" i="1" s="1"/>
  <c r="L129" i="1"/>
  <c r="M129" i="1" s="1"/>
  <c r="L128" i="1"/>
  <c r="M128" i="1" s="1"/>
  <c r="L127" i="1"/>
  <c r="M127" i="1" s="1"/>
  <c r="L126" i="1"/>
  <c r="M126" i="1" s="1"/>
  <c r="L125" i="1"/>
  <c r="M125" i="1" s="1"/>
  <c r="L124" i="1"/>
  <c r="M124" i="1" s="1"/>
  <c r="L123" i="1"/>
  <c r="M123" i="1" s="1"/>
  <c r="L134" i="1" s="1"/>
  <c r="J122" i="1"/>
  <c r="K122" i="1" s="1"/>
  <c r="K120" i="1" s="1"/>
  <c r="L114" i="1"/>
  <c r="M114" i="1" s="1"/>
  <c r="M113" i="1"/>
  <c r="L113" i="1"/>
  <c r="M112" i="1"/>
  <c r="L112" i="1"/>
  <c r="M111" i="1"/>
  <c r="L111" i="1"/>
  <c r="L110" i="1"/>
  <c r="M110" i="1" s="1"/>
  <c r="M109" i="1"/>
  <c r="L109" i="1"/>
  <c r="M108" i="1"/>
  <c r="L108" i="1"/>
  <c r="M107" i="1"/>
  <c r="L107" i="1"/>
  <c r="L106" i="1"/>
  <c r="M106" i="1" s="1"/>
  <c r="M105" i="1"/>
  <c r="L105" i="1"/>
  <c r="K104" i="1"/>
  <c r="K102" i="1" s="1"/>
  <c r="J104" i="1"/>
  <c r="L100" i="1"/>
  <c r="M100" i="1" s="1"/>
  <c r="L99" i="1"/>
  <c r="M99" i="1" s="1"/>
  <c r="L98" i="1"/>
  <c r="M98" i="1" s="1"/>
  <c r="L97" i="1"/>
  <c r="M97" i="1" s="1"/>
  <c r="L96" i="1"/>
  <c r="M96" i="1" s="1"/>
  <c r="L95" i="1"/>
  <c r="M95" i="1" s="1"/>
  <c r="L94" i="1"/>
  <c r="M94" i="1" s="1"/>
  <c r="L93" i="1"/>
  <c r="M93" i="1" s="1"/>
  <c r="L92" i="1"/>
  <c r="M92" i="1" s="1"/>
  <c r="L91" i="1"/>
  <c r="M91" i="1" s="1"/>
  <c r="L90" i="1"/>
  <c r="M90" i="1" s="1"/>
  <c r="L101" i="1" s="1"/>
  <c r="J89" i="1"/>
  <c r="K89" i="1" s="1"/>
  <c r="K86" i="1" s="1"/>
  <c r="J88" i="1"/>
  <c r="L80" i="1"/>
  <c r="M80" i="1" s="1"/>
  <c r="L79" i="1"/>
  <c r="M79" i="1" s="1"/>
  <c r="L78" i="1"/>
  <c r="M78" i="1" s="1"/>
  <c r="L77" i="1"/>
  <c r="M77" i="1" s="1"/>
  <c r="J76" i="1"/>
  <c r="K76" i="1" s="1"/>
  <c r="K73" i="1" s="1"/>
  <c r="J75" i="1"/>
  <c r="L71" i="1"/>
  <c r="M71" i="1" s="1"/>
  <c r="L70" i="1"/>
  <c r="M70" i="1" s="1"/>
  <c r="L69" i="1"/>
  <c r="M69" i="1" s="1"/>
  <c r="L68" i="1"/>
  <c r="M68" i="1" s="1"/>
  <c r="J66" i="1"/>
  <c r="K67" i="1" s="1"/>
  <c r="K64" i="1" s="1"/>
  <c r="M60" i="1"/>
  <c r="L60" i="1"/>
  <c r="M59" i="1"/>
  <c r="L59" i="1"/>
  <c r="L58" i="1"/>
  <c r="M58" i="1" s="1"/>
  <c r="L61" i="1" s="1"/>
  <c r="L55" i="1" s="1"/>
  <c r="K57" i="1"/>
  <c r="J57" i="1"/>
  <c r="K55" i="1"/>
  <c r="M55" i="1" s="1"/>
  <c r="L53" i="1"/>
  <c r="M53" i="1" s="1"/>
  <c r="L52" i="1"/>
  <c r="M52" i="1" s="1"/>
  <c r="L51" i="1"/>
  <c r="M51" i="1" s="1"/>
  <c r="J50" i="1"/>
  <c r="J49" i="1"/>
  <c r="J48" i="1"/>
  <c r="J47" i="1"/>
  <c r="J46" i="1"/>
  <c r="J45" i="1"/>
  <c r="K50" i="1" s="1"/>
  <c r="K43" i="1" s="1"/>
  <c r="L42" i="1"/>
  <c r="L35" i="1" s="1"/>
  <c r="L41" i="1"/>
  <c r="M41" i="1" s="1"/>
  <c r="L40" i="1"/>
  <c r="M40" i="1" s="1"/>
  <c r="L39" i="1"/>
  <c r="M39" i="1" s="1"/>
  <c r="J38" i="1"/>
  <c r="K38" i="1" s="1"/>
  <c r="K35" i="1" s="1"/>
  <c r="M35" i="1" s="1"/>
  <c r="J37" i="1"/>
  <c r="L31" i="1"/>
  <c r="M31" i="1" s="1"/>
  <c r="L30" i="1"/>
  <c r="M30" i="1" s="1"/>
  <c r="L29" i="1"/>
  <c r="M29" i="1" s="1"/>
  <c r="M28" i="1"/>
  <c r="L32" i="1" s="1"/>
  <c r="L28" i="1"/>
  <c r="L27" i="1"/>
  <c r="M27" i="1" s="1"/>
  <c r="J26" i="1"/>
  <c r="K26" i="1" s="1"/>
  <c r="K24" i="1"/>
  <c r="L16" i="1"/>
  <c r="M16" i="1" s="1"/>
  <c r="L15" i="1"/>
  <c r="M15" i="1" s="1"/>
  <c r="M14" i="1"/>
  <c r="L14" i="1"/>
  <c r="L13" i="1"/>
  <c r="M13" i="1" s="1"/>
  <c r="L12" i="1"/>
  <c r="M12" i="1" s="1"/>
  <c r="L11" i="1"/>
  <c r="M11" i="1" s="1"/>
  <c r="K10" i="1"/>
  <c r="K8" i="1" s="1"/>
  <c r="J10" i="1"/>
  <c r="L243" i="1" l="1"/>
  <c r="M255" i="1"/>
  <c r="M343" i="1"/>
  <c r="L322" i="1"/>
  <c r="L86" i="1"/>
  <c r="M86" i="1" s="1"/>
  <c r="M101" i="1"/>
  <c r="M422" i="1"/>
  <c r="L413" i="1"/>
  <c r="L158" i="1"/>
  <c r="M165" i="1"/>
  <c r="M134" i="1"/>
  <c r="L120" i="1"/>
  <c r="M32" i="1"/>
  <c r="L24" i="1"/>
  <c r="M24" i="1" s="1"/>
  <c r="L33" i="1" s="1"/>
  <c r="L17" i="1"/>
  <c r="L54" i="1"/>
  <c r="M135" i="1"/>
  <c r="M158" i="1"/>
  <c r="L166" i="1" s="1"/>
  <c r="L210" i="1"/>
  <c r="L406" i="1"/>
  <c r="L527" i="1"/>
  <c r="M527" i="1" s="1"/>
  <c r="M534" i="1"/>
  <c r="M564" i="1"/>
  <c r="L560" i="1"/>
  <c r="M725" i="1"/>
  <c r="L720" i="1"/>
  <c r="M720" i="1" s="1"/>
  <c r="L968" i="1"/>
  <c r="M968" i="1" s="1"/>
  <c r="M972" i="1"/>
  <c r="M42" i="1"/>
  <c r="L72" i="1"/>
  <c r="L225" i="1"/>
  <c r="M549" i="1"/>
  <c r="L545" i="1"/>
  <c r="M545" i="1" s="1"/>
  <c r="M559" i="1"/>
  <c r="L555" i="1"/>
  <c r="M555" i="1" s="1"/>
  <c r="M813" i="1"/>
  <c r="L808" i="1"/>
  <c r="M849" i="1"/>
  <c r="L843" i="1"/>
  <c r="M843" i="1" s="1"/>
  <c r="L183" i="1"/>
  <c r="M193" i="1"/>
  <c r="M61" i="1"/>
  <c r="M151" i="1"/>
  <c r="M792" i="1"/>
  <c r="L786" i="1"/>
  <c r="L793" i="1"/>
  <c r="M793" i="1" s="1"/>
  <c r="M799" i="1"/>
  <c r="L170" i="1"/>
  <c r="M170" i="1" s="1"/>
  <c r="L194" i="1" s="1"/>
  <c r="M182" i="1"/>
  <c r="L270" i="1"/>
  <c r="L439" i="1"/>
  <c r="M537" i="1"/>
  <c r="M626" i="1"/>
  <c r="L626" i="1"/>
  <c r="M634" i="1"/>
  <c r="M120" i="1"/>
  <c r="L152" i="1" s="1"/>
  <c r="L242" i="1"/>
  <c r="M243" i="1"/>
  <c r="L295" i="1"/>
  <c r="M322" i="1"/>
  <c r="L363" i="1"/>
  <c r="L391" i="1"/>
  <c r="M413" i="1"/>
  <c r="L423" i="1" s="1"/>
  <c r="M544" i="1"/>
  <c r="M554" i="1"/>
  <c r="L550" i="1"/>
  <c r="M550" i="1" s="1"/>
  <c r="M757" i="1"/>
  <c r="L1057" i="1"/>
  <c r="M1065" i="1"/>
  <c r="M183" i="1"/>
  <c r="M282" i="1"/>
  <c r="L273" i="1"/>
  <c r="M273" i="1" s="1"/>
  <c r="L283" i="1" s="1"/>
  <c r="L81" i="1"/>
  <c r="L115" i="1"/>
  <c r="L321" i="1"/>
  <c r="M499" i="1"/>
  <c r="L495" i="1"/>
  <c r="L500" i="1"/>
  <c r="M500" i="1" s="1"/>
  <c r="M510" i="1"/>
  <c r="L618" i="1"/>
  <c r="M618" i="1" s="1"/>
  <c r="M625" i="1"/>
  <c r="L991" i="1"/>
  <c r="M997" i="1"/>
  <c r="L579" i="1"/>
  <c r="L706" i="1"/>
  <c r="M706" i="1" s="1"/>
  <c r="M710" i="1"/>
  <c r="M758" i="1"/>
  <c r="L804" i="1"/>
  <c r="K910" i="1"/>
  <c r="K906" i="1" s="1"/>
  <c r="M982" i="1"/>
  <c r="L977" i="1"/>
  <c r="M977" i="1" s="1"/>
  <c r="M1016" i="1"/>
  <c r="L1011" i="1"/>
  <c r="M1011" i="1" s="1"/>
  <c r="M570" i="1"/>
  <c r="L700" i="1"/>
  <c r="M700" i="1" s="1"/>
  <c r="M705" i="1"/>
  <c r="L852" i="1"/>
  <c r="M862" i="1"/>
  <c r="L888" i="1"/>
  <c r="M905" i="1"/>
  <c r="M1004" i="1"/>
  <c r="L998" i="1"/>
  <c r="M1017" i="1"/>
  <c r="M1050" i="1"/>
  <c r="L1046" i="1"/>
  <c r="M1046" i="1" s="1"/>
  <c r="L570" i="1"/>
  <c r="M574" i="1"/>
  <c r="M617" i="1"/>
  <c r="L610" i="1"/>
  <c r="M610" i="1" s="1"/>
  <c r="M668" i="1"/>
  <c r="L661" i="1"/>
  <c r="M661" i="1" s="1"/>
  <c r="L699" i="1"/>
  <c r="M746" i="1"/>
  <c r="M766" i="1"/>
  <c r="L758" i="1"/>
  <c r="L470" i="1"/>
  <c r="L589" i="1"/>
  <c r="L609" i="1"/>
  <c r="L660" i="1"/>
  <c r="L923" i="1"/>
  <c r="M967" i="1"/>
  <c r="L963" i="1"/>
  <c r="M963" i="1" s="1"/>
  <c r="L1194" i="1"/>
  <c r="M1194" i="1" s="1"/>
  <c r="L1201" i="1" s="1"/>
  <c r="M1200" i="1"/>
  <c r="K655" i="1"/>
  <c r="K648" i="1" s="1"/>
  <c r="M676" i="1"/>
  <c r="L743" i="1"/>
  <c r="L824" i="1"/>
  <c r="L835" i="1"/>
  <c r="M1148" i="1"/>
  <c r="L1138" i="1"/>
  <c r="L569" i="1"/>
  <c r="M647" i="1"/>
  <c r="L637" i="1"/>
  <c r="M637" i="1" s="1"/>
  <c r="M688" i="1"/>
  <c r="L684" i="1"/>
  <c r="M684" i="1" s="1"/>
  <c r="M715" i="1"/>
  <c r="L711" i="1"/>
  <c r="M711" i="1" s="1"/>
  <c r="M737" i="1"/>
  <c r="L732" i="1"/>
  <c r="M786" i="1"/>
  <c r="M1027" i="1"/>
  <c r="L1017" i="1"/>
  <c r="L1118" i="1"/>
  <c r="L456" i="1"/>
  <c r="L488" i="1"/>
  <c r="M495" i="1"/>
  <c r="L518" i="1"/>
  <c r="L526" i="1"/>
  <c r="M560" i="1"/>
  <c r="L584" i="1"/>
  <c r="L679" i="1"/>
  <c r="M679" i="1" s="1"/>
  <c r="M683" i="1"/>
  <c r="L785" i="1"/>
  <c r="M852" i="1"/>
  <c r="M1057" i="1"/>
  <c r="L1066" i="1" s="1"/>
  <c r="L1070" i="1"/>
  <c r="M1070" i="1" s="1"/>
  <c r="L1080" i="1" s="1"/>
  <c r="L1084" i="1"/>
  <c r="M1084" i="1" s="1"/>
  <c r="L1093" i="1" s="1"/>
  <c r="M1092" i="1"/>
  <c r="M1134" i="1"/>
  <c r="L1125" i="1"/>
  <c r="M1179" i="1"/>
  <c r="L1169" i="1"/>
  <c r="M1169" i="1" s="1"/>
  <c r="L731" i="1"/>
  <c r="M732" i="1"/>
  <c r="L887" i="1"/>
  <c r="L932" i="1"/>
  <c r="M1125" i="1"/>
  <c r="L1135" i="1" s="1"/>
  <c r="L1163" i="1"/>
  <c r="M998" i="1"/>
  <c r="L1010" i="1"/>
  <c r="K1033" i="1"/>
  <c r="K1028" i="1" s="1"/>
  <c r="L1045" i="1"/>
  <c r="L1189" i="1"/>
  <c r="K892" i="1"/>
  <c r="K888" i="1" s="1"/>
  <c r="M888" i="1" s="1"/>
  <c r="M1178" i="1"/>
  <c r="L1209" i="1"/>
  <c r="L772" i="1"/>
  <c r="M808" i="1"/>
  <c r="L1215" i="1"/>
  <c r="M1215" i="1" s="1"/>
  <c r="M1217" i="1"/>
  <c r="L1218" i="1" s="1"/>
  <c r="L947" i="1"/>
  <c r="L842" i="1"/>
  <c r="L962" i="1"/>
  <c r="L988" i="1"/>
  <c r="L1038" i="1"/>
  <c r="M1138" i="1"/>
  <c r="L1149" i="1" s="1"/>
  <c r="L1220" i="1"/>
  <c r="M1220" i="1" s="1"/>
  <c r="M1222" i="1"/>
  <c r="M775" i="1"/>
  <c r="L776" i="1" s="1"/>
  <c r="M991" i="1"/>
  <c r="M283" i="1" l="1"/>
  <c r="L272" i="1"/>
  <c r="M272" i="1" s="1"/>
  <c r="L1193" i="1"/>
  <c r="M1193" i="1" s="1"/>
  <c r="M1201" i="1"/>
  <c r="M194" i="1"/>
  <c r="L195" i="1" s="1"/>
  <c r="L169" i="1"/>
  <c r="M169" i="1" s="1"/>
  <c r="L814" i="1"/>
  <c r="M814" i="1" s="1"/>
  <c r="M824" i="1"/>
  <c r="L1137" i="1"/>
  <c r="M1137" i="1" s="1"/>
  <c r="M1149" i="1"/>
  <c r="M1028" i="1"/>
  <c r="L1099" i="1"/>
  <c r="M1099" i="1" s="1"/>
  <c r="L1119" i="1" s="1"/>
  <c r="M1118" i="1"/>
  <c r="L800" i="1"/>
  <c r="M800" i="1" s="1"/>
  <c r="M804" i="1"/>
  <c r="L73" i="1"/>
  <c r="M73" i="1" s="1"/>
  <c r="M81" i="1"/>
  <c r="M166" i="1"/>
  <c r="L167" i="1" s="1"/>
  <c r="L157" i="1"/>
  <c r="M157" i="1" s="1"/>
  <c r="L1039" i="1"/>
  <c r="M1038" i="1"/>
  <c r="L1028" i="1"/>
  <c r="M1010" i="1"/>
  <c r="L1005" i="1"/>
  <c r="M1005" i="1" s="1"/>
  <c r="L1083" i="1"/>
  <c r="M1083" i="1" s="1"/>
  <c r="M1093" i="1"/>
  <c r="L1094" i="1" s="1"/>
  <c r="M584" i="1"/>
  <c r="L580" i="1"/>
  <c r="M580" i="1" s="1"/>
  <c r="L825" i="1"/>
  <c r="M825" i="1" s="1"/>
  <c r="M835" i="1"/>
  <c r="M660" i="1"/>
  <c r="L648" i="1"/>
  <c r="L694" i="1"/>
  <c r="M694" i="1" s="1"/>
  <c r="L717" i="1" s="1"/>
  <c r="M699" i="1"/>
  <c r="M295" i="1"/>
  <c r="L285" i="1"/>
  <c r="M285" i="1" s="1"/>
  <c r="L296" i="1" s="1"/>
  <c r="M72" i="1"/>
  <c r="L64" i="1"/>
  <c r="M64" i="1" s="1"/>
  <c r="L82" i="1" s="1"/>
  <c r="L23" i="1"/>
  <c r="M23" i="1" s="1"/>
  <c r="M33" i="1"/>
  <c r="M988" i="1"/>
  <c r="L983" i="1"/>
  <c r="M983" i="1" s="1"/>
  <c r="L989" i="1" s="1"/>
  <c r="L427" i="1"/>
  <c r="M427" i="1" s="1"/>
  <c r="L440" i="1" s="1"/>
  <c r="M439" i="1"/>
  <c r="L519" i="1"/>
  <c r="M519" i="1" s="1"/>
  <c r="M526" i="1"/>
  <c r="M589" i="1"/>
  <c r="L585" i="1"/>
  <c r="M585" i="1" s="1"/>
  <c r="L230" i="1"/>
  <c r="M230" i="1" s="1"/>
  <c r="L256" i="1" s="1"/>
  <c r="M242" i="1"/>
  <c r="M17" i="1"/>
  <c r="L8" i="1"/>
  <c r="M8" i="1" s="1"/>
  <c r="L18" i="1" s="1"/>
  <c r="M731" i="1"/>
  <c r="L726" i="1"/>
  <c r="M726" i="1" s="1"/>
  <c r="M962" i="1"/>
  <c r="L948" i="1"/>
  <c r="M948" i="1" s="1"/>
  <c r="L511" i="1"/>
  <c r="M511" i="1" s="1"/>
  <c r="L535" i="1" s="1"/>
  <c r="M518" i="1"/>
  <c r="L677" i="1"/>
  <c r="L738" i="1"/>
  <c r="M738" i="1" s="1"/>
  <c r="M743" i="1"/>
  <c r="L575" i="1"/>
  <c r="M575" i="1" s="1"/>
  <c r="M579" i="1"/>
  <c r="L119" i="1"/>
  <c r="M119" i="1" s="1"/>
  <c r="M152" i="1"/>
  <c r="L153" i="1" s="1"/>
  <c r="L396" i="1"/>
  <c r="M396" i="1" s="1"/>
  <c r="L407" i="1" s="1"/>
  <c r="M406" i="1"/>
  <c r="L1069" i="1"/>
  <c r="M1069" i="1" s="1"/>
  <c r="M1080" i="1"/>
  <c r="L1081" i="1" s="1"/>
  <c r="M54" i="1"/>
  <c r="L43" i="1"/>
  <c r="M43" i="1" s="1"/>
  <c r="L62" i="1" s="1"/>
  <c r="M1066" i="1"/>
  <c r="L1067" i="1" s="1"/>
  <c r="L1056" i="1"/>
  <c r="M1056" i="1" s="1"/>
  <c r="L836" i="1"/>
  <c r="M836" i="1" s="1"/>
  <c r="M842" i="1"/>
  <c r="L933" i="1"/>
  <c r="M933" i="1" s="1"/>
  <c r="M947" i="1"/>
  <c r="M923" i="1"/>
  <c r="L906" i="1"/>
  <c r="M906" i="1" s="1"/>
  <c r="L461" i="1"/>
  <c r="M461" i="1" s="1"/>
  <c r="L471" i="1" s="1"/>
  <c r="M470" i="1"/>
  <c r="L412" i="1"/>
  <c r="M412" i="1" s="1"/>
  <c r="M423" i="1"/>
  <c r="L424" i="1" s="1"/>
  <c r="L262" i="1"/>
  <c r="M262" i="1" s="1"/>
  <c r="L271" i="1" s="1"/>
  <c r="M270" i="1"/>
  <c r="L744" i="1"/>
  <c r="L767" i="1"/>
  <c r="M767" i="1" s="1"/>
  <c r="L773" i="1" s="1"/>
  <c r="M772" i="1"/>
  <c r="L592" i="1"/>
  <c r="M592" i="1" s="1"/>
  <c r="L635" i="1" s="1"/>
  <c r="M609" i="1"/>
  <c r="L774" i="1"/>
  <c r="M774" i="1" s="1"/>
  <c r="M776" i="1"/>
  <c r="M1163" i="1"/>
  <c r="L1154" i="1"/>
  <c r="M1154" i="1" s="1"/>
  <c r="L1164" i="1" s="1"/>
  <c r="M1218" i="1"/>
  <c r="L1219" i="1" s="1"/>
  <c r="L1214" i="1"/>
  <c r="M1214" i="1" s="1"/>
  <c r="M1189" i="1"/>
  <c r="L1181" i="1"/>
  <c r="M1181" i="1" s="1"/>
  <c r="L1190" i="1" s="1"/>
  <c r="L924" i="1"/>
  <c r="M924" i="1" s="1"/>
  <c r="M932" i="1"/>
  <c r="L779" i="1"/>
  <c r="M779" i="1" s="1"/>
  <c r="L805" i="1" s="1"/>
  <c r="M785" i="1"/>
  <c r="L477" i="1"/>
  <c r="M477" i="1" s="1"/>
  <c r="L489" i="1" s="1"/>
  <c r="M488" i="1"/>
  <c r="M569" i="1"/>
  <c r="L565" i="1"/>
  <c r="M565" i="1" s="1"/>
  <c r="L590" i="1" s="1"/>
  <c r="M648" i="1"/>
  <c r="M321" i="1"/>
  <c r="L300" i="1"/>
  <c r="M300" i="1" s="1"/>
  <c r="L344" i="1" s="1"/>
  <c r="M391" i="1"/>
  <c r="L368" i="1"/>
  <c r="M368" i="1" s="1"/>
  <c r="L392" i="1" s="1"/>
  <c r="L1203" i="1"/>
  <c r="M1203" i="1" s="1"/>
  <c r="L1210" i="1" s="1"/>
  <c r="M1209" i="1"/>
  <c r="L1124" i="1"/>
  <c r="M1124" i="1" s="1"/>
  <c r="M1135" i="1"/>
  <c r="L1136" i="1" s="1"/>
  <c r="L1041" i="1"/>
  <c r="M1041" i="1" s="1"/>
  <c r="L1051" i="1" s="1"/>
  <c r="M1045" i="1"/>
  <c r="M887" i="1"/>
  <c r="L863" i="1"/>
  <c r="M863" i="1" s="1"/>
  <c r="M456" i="1"/>
  <c r="L444" i="1"/>
  <c r="M444" i="1" s="1"/>
  <c r="L457" i="1" s="1"/>
  <c r="M115" i="1"/>
  <c r="L102" i="1"/>
  <c r="M102" i="1" s="1"/>
  <c r="L116" i="1" s="1"/>
  <c r="L350" i="1"/>
  <c r="M350" i="1" s="1"/>
  <c r="L364" i="1" s="1"/>
  <c r="M363" i="1"/>
  <c r="M225" i="1"/>
  <c r="L213" i="1"/>
  <c r="M213" i="1" s="1"/>
  <c r="L226" i="1" s="1"/>
  <c r="L198" i="1"/>
  <c r="M198" i="1" s="1"/>
  <c r="L211" i="1" s="1"/>
  <c r="M210" i="1"/>
  <c r="L974" i="1" l="1"/>
  <c r="L745" i="1"/>
  <c r="M745" i="1" s="1"/>
  <c r="M773" i="1"/>
  <c r="M989" i="1"/>
  <c r="L976" i="1"/>
  <c r="M976" i="1" s="1"/>
  <c r="L85" i="1"/>
  <c r="M85" i="1" s="1"/>
  <c r="M116" i="1"/>
  <c r="L117" i="1" s="1"/>
  <c r="L536" i="1"/>
  <c r="M536" i="1" s="1"/>
  <c r="M590" i="1"/>
  <c r="L494" i="1"/>
  <c r="M494" i="1" s="1"/>
  <c r="M535" i="1"/>
  <c r="L212" i="1"/>
  <c r="M212" i="1" s="1"/>
  <c r="M226" i="1"/>
  <c r="M635" i="1"/>
  <c r="L591" i="1"/>
  <c r="M591" i="1" s="1"/>
  <c r="M677" i="1"/>
  <c r="L636" i="1"/>
  <c r="M636" i="1" s="1"/>
  <c r="L284" i="1"/>
  <c r="M284" i="1" s="1"/>
  <c r="M296" i="1"/>
  <c r="L990" i="1"/>
  <c r="M990" i="1" s="1"/>
  <c r="M1039" i="1"/>
  <c r="L850" i="1"/>
  <c r="M489" i="1"/>
  <c r="L490" i="1" s="1"/>
  <c r="L476" i="1"/>
  <c r="M476" i="1" s="1"/>
  <c r="M1219" i="1"/>
  <c r="L1213" i="1"/>
  <c r="M1213" i="1" s="1"/>
  <c r="L460" i="1"/>
  <c r="M460" i="1" s="1"/>
  <c r="M471" i="1"/>
  <c r="L472" i="1" s="1"/>
  <c r="M407" i="1"/>
  <c r="L408" i="1" s="1"/>
  <c r="L395" i="1"/>
  <c r="M395" i="1" s="1"/>
  <c r="M440" i="1"/>
  <c r="L441" i="1" s="1"/>
  <c r="L426" i="1"/>
  <c r="M426" i="1" s="1"/>
  <c r="M392" i="1"/>
  <c r="L393" i="1" s="1"/>
  <c r="L367" i="1"/>
  <c r="M367" i="1" s="1"/>
  <c r="M153" i="1"/>
  <c r="L118" i="1"/>
  <c r="M118" i="1" s="1"/>
  <c r="M1119" i="1"/>
  <c r="L1120" i="1" s="1"/>
  <c r="L1098" i="1"/>
  <c r="M1098" i="1" s="1"/>
  <c r="M744" i="1"/>
  <c r="L719" i="1"/>
  <c r="M719" i="1" s="1"/>
  <c r="M1067" i="1"/>
  <c r="L1055" i="1"/>
  <c r="M1055" i="1" s="1"/>
  <c r="M717" i="1"/>
  <c r="L689" i="1"/>
  <c r="M689" i="1" s="1"/>
  <c r="L718" i="1" s="1"/>
  <c r="M195" i="1"/>
  <c r="L168" i="1"/>
  <c r="M168" i="1" s="1"/>
  <c r="M62" i="1"/>
  <c r="L83" i="1" s="1"/>
  <c r="L34" i="1"/>
  <c r="M34" i="1" s="1"/>
  <c r="M344" i="1"/>
  <c r="L345" i="1" s="1"/>
  <c r="L299" i="1"/>
  <c r="M299" i="1" s="1"/>
  <c r="L229" i="1"/>
  <c r="M229" i="1" s="1"/>
  <c r="M256" i="1"/>
  <c r="L257" i="1" s="1"/>
  <c r="M1094" i="1"/>
  <c r="L1082" i="1"/>
  <c r="M1082" i="1" s="1"/>
  <c r="M805" i="1"/>
  <c r="L778" i="1"/>
  <c r="M778" i="1" s="1"/>
  <c r="L261" i="1"/>
  <c r="M261" i="1" s="1"/>
  <c r="M271" i="1"/>
  <c r="L297" i="1" s="1"/>
  <c r="M167" i="1"/>
  <c r="L156" i="1"/>
  <c r="M156" i="1" s="1"/>
  <c r="L1040" i="1"/>
  <c r="M1040" i="1" s="1"/>
  <c r="M1051" i="1"/>
  <c r="L1123" i="1"/>
  <c r="M1123" i="1" s="1"/>
  <c r="M1136" i="1"/>
  <c r="L1150" i="1" s="1"/>
  <c r="M457" i="1"/>
  <c r="L458" i="1" s="1"/>
  <c r="L443" i="1"/>
  <c r="M443" i="1" s="1"/>
  <c r="M1190" i="1"/>
  <c r="L1191" i="1" s="1"/>
  <c r="L1180" i="1"/>
  <c r="M1180" i="1" s="1"/>
  <c r="M424" i="1"/>
  <c r="L411" i="1"/>
  <c r="M411" i="1" s="1"/>
  <c r="M1081" i="1"/>
  <c r="L1068" i="1"/>
  <c r="M1068" i="1" s="1"/>
  <c r="M82" i="1"/>
  <c r="L63" i="1"/>
  <c r="M63" i="1" s="1"/>
  <c r="L349" i="1"/>
  <c r="M349" i="1" s="1"/>
  <c r="M364" i="1"/>
  <c r="L365" i="1" s="1"/>
  <c r="L1153" i="1"/>
  <c r="M1153" i="1" s="1"/>
  <c r="M1164" i="1"/>
  <c r="L1165" i="1" s="1"/>
  <c r="M211" i="1"/>
  <c r="L197" i="1"/>
  <c r="M197" i="1" s="1"/>
  <c r="L1202" i="1"/>
  <c r="M1202" i="1" s="1"/>
  <c r="M1210" i="1"/>
  <c r="L1211" i="1" s="1"/>
  <c r="L7" i="1"/>
  <c r="M7" i="1" s="1"/>
  <c r="M18" i="1"/>
  <c r="L19" i="1" s="1"/>
  <c r="M83" i="1" l="1"/>
  <c r="L22" i="1"/>
  <c r="M22" i="1" s="1"/>
  <c r="M1211" i="1"/>
  <c r="L1192" i="1"/>
  <c r="M1192" i="1" s="1"/>
  <c r="L425" i="1"/>
  <c r="M425" i="1" s="1"/>
  <c r="M441" i="1"/>
  <c r="L473" i="1" s="1"/>
  <c r="L475" i="1"/>
  <c r="M475" i="1" s="1"/>
  <c r="M490" i="1"/>
  <c r="L491" i="1" s="1"/>
  <c r="L84" i="1"/>
  <c r="M84" i="1" s="1"/>
  <c r="M117" i="1"/>
  <c r="M1165" i="1"/>
  <c r="L1166" i="1" s="1"/>
  <c r="L1152" i="1"/>
  <c r="M1152" i="1" s="1"/>
  <c r="L806" i="1"/>
  <c r="M806" i="1" s="1"/>
  <c r="M850" i="1"/>
  <c r="M408" i="1"/>
  <c r="L394" i="1"/>
  <c r="M394" i="1" s="1"/>
  <c r="L6" i="1"/>
  <c r="M6" i="1" s="1"/>
  <c r="M19" i="1"/>
  <c r="L20" i="1" s="1"/>
  <c r="L1168" i="1"/>
  <c r="M1168" i="1" s="1"/>
  <c r="M1191" i="1"/>
  <c r="L1212" i="1" s="1"/>
  <c r="M718" i="1"/>
  <c r="L777" i="1" s="1"/>
  <c r="L678" i="1"/>
  <c r="M678" i="1" s="1"/>
  <c r="M472" i="1"/>
  <c r="L459" i="1"/>
  <c r="M459" i="1" s="1"/>
  <c r="L1052" i="1"/>
  <c r="M365" i="1"/>
  <c r="L348" i="1"/>
  <c r="M348" i="1" s="1"/>
  <c r="L1097" i="1"/>
  <c r="M1097" i="1" s="1"/>
  <c r="M1120" i="1"/>
  <c r="L1121" i="1" s="1"/>
  <c r="M458" i="1"/>
  <c r="L442" i="1"/>
  <c r="M442" i="1" s="1"/>
  <c r="L1122" i="1"/>
  <c r="M1122" i="1" s="1"/>
  <c r="M1150" i="1"/>
  <c r="M257" i="1"/>
  <c r="L228" i="1"/>
  <c r="M228" i="1" s="1"/>
  <c r="M297" i="1"/>
  <c r="L346" i="1" s="1"/>
  <c r="L260" i="1"/>
  <c r="M260" i="1" s="1"/>
  <c r="M345" i="1"/>
  <c r="L298" i="1"/>
  <c r="M298" i="1" s="1"/>
  <c r="L227" i="1"/>
  <c r="L1095" i="1"/>
  <c r="L366" i="1"/>
  <c r="M366" i="1" s="1"/>
  <c r="M393" i="1"/>
  <c r="M974" i="1"/>
  <c r="L851" i="1"/>
  <c r="M851" i="1" s="1"/>
  <c r="M473" i="1" l="1"/>
  <c r="L410" i="1"/>
  <c r="M410" i="1" s="1"/>
  <c r="M777" i="1"/>
  <c r="L493" i="1"/>
  <c r="M493" i="1" s="1"/>
  <c r="M346" i="1"/>
  <c r="L259" i="1"/>
  <c r="M259" i="1" s="1"/>
  <c r="M1166" i="1"/>
  <c r="L1151" i="1"/>
  <c r="M1151" i="1" s="1"/>
  <c r="M1212" i="1"/>
  <c r="L1167" i="1"/>
  <c r="M1167" i="1" s="1"/>
  <c r="L5" i="1"/>
  <c r="M5" i="1" s="1"/>
  <c r="M20" i="1"/>
  <c r="M1095" i="1"/>
  <c r="L1054" i="1"/>
  <c r="M1054" i="1" s="1"/>
  <c r="M1052" i="1"/>
  <c r="L975" i="1"/>
  <c r="M975" i="1" s="1"/>
  <c r="M1121" i="1"/>
  <c r="L1096" i="1"/>
  <c r="M1096" i="1" s="1"/>
  <c r="L409" i="1"/>
  <c r="L196" i="1"/>
  <c r="M196" i="1" s="1"/>
  <c r="M227" i="1"/>
  <c r="L258" i="1" s="1"/>
  <c r="M491" i="1"/>
  <c r="L474" i="1"/>
  <c r="M474" i="1" s="1"/>
  <c r="L154" i="1"/>
  <c r="M154" i="1" l="1"/>
  <c r="L21" i="1"/>
  <c r="M21" i="1" s="1"/>
  <c r="M258" i="1"/>
  <c r="L155" i="1"/>
  <c r="M155" i="1" s="1"/>
  <c r="M409" i="1"/>
  <c r="L347" i="1"/>
  <c r="M347" i="1" s="1"/>
  <c r="L1053" i="1"/>
  <c r="M1053" i="1" l="1"/>
  <c r="L1223" i="1" s="1"/>
  <c r="L492" i="1"/>
  <c r="M492" i="1" s="1"/>
  <c r="M1223" i="1" l="1"/>
  <c r="L4" i="1"/>
  <c r="M4" i="1" s="1"/>
</calcChain>
</file>

<file path=xl/sharedStrings.xml><?xml version="1.0" encoding="utf-8"?>
<sst xmlns="http://schemas.openxmlformats.org/spreadsheetml/2006/main" count="3783" uniqueCount="3783">
  <si>
    <t>Obra:</t>
  </si>
  <si>
    <t>PBE Nau Brigada Creixell</t>
  </si>
  <si>
    <t>Pressupost</t>
  </si>
  <si>
    <t>% C.I.</t>
  </si>
  <si>
    <t>Codi</t>
  </si>
  <si>
    <t>Tipus</t>
  </si>
  <si>
    <t>U</t>
  </si>
  <si>
    <t>Resum</t>
  </si>
  <si>
    <t>Quantitat</t>
  </si>
  <si>
    <t>Preu (€)</t>
  </si>
  <si>
    <t>Import (€)</t>
  </si>
  <si>
    <t>PBE NAU BRIGADA CREIXELL</t>
  </si>
  <si>
    <t>Capítol</t>
  </si>
  <si>
    <t>PBE Nau Brigada Creixell</t>
  </si>
  <si>
    <t>D</t>
  </si>
  <si>
    <t>Capítol</t>
  </si>
  <si>
    <t>Demolicions</t>
  </si>
  <si>
    <t>DD</t>
  </si>
  <si>
    <t>Capítol</t>
  </si>
  <si>
    <t>Fonamentacions</t>
  </si>
  <si>
    <t>DDC</t>
  </si>
  <si>
    <t>Capítol</t>
  </si>
  <si>
    <t>Contencions</t>
  </si>
  <si>
    <t>DDC020b</t>
  </si>
  <si>
    <t>Partida</t>
  </si>
  <si>
    <t>m³</t>
  </si>
  <si>
    <t>Demolició de mur de contenció de formigó armat amb retroexcavadora amb martell picador i equip de oxitall, i càrrega mecànica sobre camió o contenidor.</t>
  </si>
  <si>
    <t>Uts.</t>
  </si>
  <si>
    <t>Llargada</t>
  </si>
  <si>
    <t>Amplada</t>
  </si>
  <si>
    <t>Alçada</t>
  </si>
  <si>
    <t>Parcial</t>
  </si>
  <si>
    <t>Subtotal</t>
  </si>
  <si>
    <t>Mur perimetral parcel·la</t>
  </si>
  <si>
    <t>mq01exn050c</t>
  </si>
  <si>
    <t>Maquinària</t>
  </si>
  <si>
    <t>h</t>
  </si>
  <si>
    <t>Retroexcavadora sobre pneumàtics, de 85 kW, amb martell trencador.</t>
  </si>
  <si>
    <t>mq01ret010</t>
  </si>
  <si>
    <t>Maquinària</t>
  </si>
  <si>
    <t>h</t>
  </si>
  <si>
    <t>Miniretrocarregadora sobre pneumàtics de 15 kW.</t>
  </si>
  <si>
    <t>mq08sol010</t>
  </si>
  <si>
    <t>Maquinària</t>
  </si>
  <si>
    <t>h</t>
  </si>
  <si>
    <t>Equip d'oxitall, amb acetilè com combustible i oxigen com comburent.</t>
  </si>
  <si>
    <t>mo019</t>
  </si>
  <si>
    <t>Mà d'obra</t>
  </si>
  <si>
    <t>h</t>
  </si>
  <si>
    <t>Oficial 1ª soldador.</t>
  </si>
  <si>
    <t>mo113</t>
  </si>
  <si>
    <t>Mà d'obra</t>
  </si>
  <si>
    <t>h</t>
  </si>
  <si>
    <t>Peó ordinari construcció.</t>
  </si>
  <si>
    <t>%</t>
  </si>
  <si>
    <t>%</t>
  </si>
  <si>
    <t>Costes directos complementarios</t>
  </si>
  <si>
    <t>DDC020b</t>
  </si>
  <si>
    <t>DDC</t>
  </si>
  <si>
    <t>DD</t>
  </si>
  <si>
    <t>D</t>
  </si>
  <si>
    <t>A</t>
  </si>
  <si>
    <t>Capítol</t>
  </si>
  <si>
    <t>Condicionament del terreny</t>
  </si>
  <si>
    <t>AD</t>
  </si>
  <si>
    <t>Capítol</t>
  </si>
  <si>
    <t>Moviment de terres en edificació</t>
  </si>
  <si>
    <t>ADD</t>
  </si>
  <si>
    <t>Capítol</t>
  </si>
  <si>
    <t>Terrabuits</t>
  </si>
  <si>
    <t>ADD010</t>
  </si>
  <si>
    <t>Partida</t>
  </si>
  <si>
    <t>m³</t>
  </si>
  <si>
    <t>Desmunt en terreny, per donar al terreny la rasant d'explanació prevista, fent servir els mitjans mecànics, i càrrega a camió.</t>
  </si>
  <si>
    <t>Uts.</t>
  </si>
  <si>
    <t>Llargada</t>
  </si>
  <si>
    <t>Amplada</t>
  </si>
  <si>
    <t>Alçada</t>
  </si>
  <si>
    <t>Parcial</t>
  </si>
  <si>
    <t>Subtotal</t>
  </si>
  <si>
    <t>Zona nova nau</t>
  </si>
  <si>
    <t>mq01pan010a</t>
  </si>
  <si>
    <t>Maquinària</t>
  </si>
  <si>
    <t>h</t>
  </si>
  <si>
    <t>Pala carregadora sobre pneumàtics de 120 kW/1,9 m³.</t>
  </si>
  <si>
    <t>mq01exn050c</t>
  </si>
  <si>
    <t>Maquinària</t>
  </si>
  <si>
    <t>h</t>
  </si>
  <si>
    <t>Retroexcavadora sobre pneumàtics, de 85 kW, amb martell trencador.</t>
  </si>
  <si>
    <t>mo020</t>
  </si>
  <si>
    <t>Mà d'obra</t>
  </si>
  <si>
    <t>h</t>
  </si>
  <si>
    <t>Oficial 1ª construcció.</t>
  </si>
  <si>
    <t>mo113</t>
  </si>
  <si>
    <t>Mà d'obra</t>
  </si>
  <si>
    <t>h</t>
  </si>
  <si>
    <t>Peó ordinari construcció.</t>
  </si>
  <si>
    <t>%</t>
  </si>
  <si>
    <t>%</t>
  </si>
  <si>
    <t>Costes directos complementarios</t>
  </si>
  <si>
    <t>ADD010</t>
  </si>
  <si>
    <t>ADD</t>
  </si>
  <si>
    <t>ADE</t>
  </si>
  <si>
    <t>Capítol</t>
  </si>
  <si>
    <t>Excavacions</t>
  </si>
  <si>
    <t>ADE002</t>
  </si>
  <si>
    <t>Partida</t>
  </si>
  <si>
    <t>m³</t>
  </si>
  <si>
    <t>Excavació a cel obert, en qualsevol tipus de terreny, amb mitjans mecànics, i càrrega a camió.</t>
  </si>
  <si>
    <t>Uts.</t>
  </si>
  <si>
    <t>Llargada</t>
  </si>
  <si>
    <t>Amplada</t>
  </si>
  <si>
    <t>Alçada</t>
  </si>
  <si>
    <t>Parcial</t>
  </si>
  <si>
    <t>Subtotal</t>
  </si>
  <si>
    <t>Murs de contenció</t>
  </si>
  <si>
    <t>Vorera perimetral zona superior</t>
  </si>
  <si>
    <t>mq01ret020b</t>
  </si>
  <si>
    <t>Maquinària</t>
  </si>
  <si>
    <t>h</t>
  </si>
  <si>
    <t>Retrocarregadora sobre pneumàtics, de 70 kW.</t>
  </si>
  <si>
    <t>mo113</t>
  </si>
  <si>
    <t>Mà d'obra</t>
  </si>
  <si>
    <t>h</t>
  </si>
  <si>
    <t>Peó ordinari construcció.</t>
  </si>
  <si>
    <t>%</t>
  </si>
  <si>
    <t>%</t>
  </si>
  <si>
    <t>Costes directos complementarios</t>
  </si>
  <si>
    <t>ADE002</t>
  </si>
  <si>
    <t>ADE010</t>
  </si>
  <si>
    <t>Partida</t>
  </si>
  <si>
    <t>m³</t>
  </si>
  <si>
    <t>Excavació de rases per fonamentacions fins a una profunditat de 2 m, en qualsevol tipus de terreny, amb mitjans mecànics, i càrrega a camió.</t>
  </si>
  <si>
    <t>Uts.</t>
  </si>
  <si>
    <t>Llargada</t>
  </si>
  <si>
    <t>Amplada</t>
  </si>
  <si>
    <t>Alçada</t>
  </si>
  <si>
    <t>Parcial</t>
  </si>
  <si>
    <t>Subtotal</t>
  </si>
  <si>
    <t>Fonamentació: sabates aïllades</t>
  </si>
  <si>
    <t>Fonamentació: riostres</t>
  </si>
  <si>
    <t>Fonamentació: bigues centradores</t>
  </si>
  <si>
    <t>Fonamentació: solera</t>
  </si>
  <si>
    <t>Fonamentació: capa formigó de neteja</t>
  </si>
  <si>
    <t>Fonamentació: sabates murs de contenció</t>
  </si>
  <si>
    <t>mq01exn020b</t>
  </si>
  <si>
    <t>Maquinària</t>
  </si>
  <si>
    <t>h</t>
  </si>
  <si>
    <t>Retroexcavadora hidràulica sobre pneumàtics, de 115 kW.</t>
  </si>
  <si>
    <t>mo113</t>
  </si>
  <si>
    <t>Mà d'obra</t>
  </si>
  <si>
    <t>h</t>
  </si>
  <si>
    <t>Peó ordinari construcció.</t>
  </si>
  <si>
    <t>%</t>
  </si>
  <si>
    <t>%</t>
  </si>
  <si>
    <t>Costes directos complementarios</t>
  </si>
  <si>
    <t>ADE010</t>
  </si>
  <si>
    <t>ADE010b</t>
  </si>
  <si>
    <t>Partida</t>
  </si>
  <si>
    <t>m³</t>
  </si>
  <si>
    <t>Excavació de rases per instal·lacions fins a una profunditat de 2 m, en qualsevol tipus de terreny, amb mitjans mecànics, i càrrega a camió.</t>
  </si>
  <si>
    <t>Uts.</t>
  </si>
  <si>
    <t>Llargada</t>
  </si>
  <si>
    <t>Amplada</t>
  </si>
  <si>
    <t>Alçada</t>
  </si>
  <si>
    <t>Parcial</t>
  </si>
  <si>
    <t>Subtotal</t>
  </si>
  <si>
    <t>Previsió instal·lacions</t>
  </si>
  <si>
    <t>mq01exn020b</t>
  </si>
  <si>
    <t>Maquinària</t>
  </si>
  <si>
    <t>h</t>
  </si>
  <si>
    <t>Retroexcavadora hidràulica sobre pneumàtics, de 115 kW.</t>
  </si>
  <si>
    <t>mo113</t>
  </si>
  <si>
    <t>Mà d'obra</t>
  </si>
  <si>
    <t>h</t>
  </si>
  <si>
    <t>Peó ordinari construcció.</t>
  </si>
  <si>
    <t>%</t>
  </si>
  <si>
    <t>%</t>
  </si>
  <si>
    <t>Costes directos complementarios</t>
  </si>
  <si>
    <t>ADE010b</t>
  </si>
  <si>
    <t>ADE</t>
  </si>
  <si>
    <t>ADR</t>
  </si>
  <si>
    <t>Capítol</t>
  </si>
  <si>
    <t>Rebliments i compactacions</t>
  </si>
  <si>
    <t>ADR020</t>
  </si>
  <si>
    <t>Partida</t>
  </si>
  <si>
    <t>m³</t>
  </si>
  <si>
    <t>Reblert en extradós de mur de formigó, amb grava de 20 a 30 mm de diàmetre.</t>
  </si>
  <si>
    <t>Uts.</t>
  </si>
  <si>
    <t>Llargada</t>
  </si>
  <si>
    <t>Amplada</t>
  </si>
  <si>
    <t>Alçada</t>
  </si>
  <si>
    <t>Parcial</t>
  </si>
  <si>
    <t>Subtotal</t>
  </si>
  <si>
    <t>Murs de contenció</t>
  </si>
  <si>
    <t>0</t>
  </si>
  <si>
    <t>mt01arr010b</t>
  </si>
  <si>
    <t>Material</t>
  </si>
  <si>
    <t>t</t>
  </si>
  <si>
    <t>Grava de pedrera, de 20 a 30 mm de diàmetre.</t>
  </si>
  <si>
    <t>mq04dua020b</t>
  </si>
  <si>
    <t>Maquinària</t>
  </si>
  <si>
    <t>h</t>
  </si>
  <si>
    <t>Dúmper de descàrrega frontal de 2 t de càrrega útil.</t>
  </si>
  <si>
    <t>mo113</t>
  </si>
  <si>
    <t>Mà d'obra</t>
  </si>
  <si>
    <t>h</t>
  </si>
  <si>
    <t>Peó ordinari construcció.</t>
  </si>
  <si>
    <t>%</t>
  </si>
  <si>
    <t>%</t>
  </si>
  <si>
    <t>Costes directos complementarios</t>
  </si>
  <si>
    <t>ADR020</t>
  </si>
  <si>
    <t>ADR030</t>
  </si>
  <si>
    <t>Partida</t>
  </si>
  <si>
    <t>m³</t>
  </si>
  <si>
    <t>Base de paviment realitzada mitjançant reblert a cel obert, amb grava de 20 a 30 mm de diàmetre.</t>
  </si>
  <si>
    <t>Uts.</t>
  </si>
  <si>
    <t>Llargada</t>
  </si>
  <si>
    <t>Amplada</t>
  </si>
  <si>
    <t>Alçada</t>
  </si>
  <si>
    <t>Parcial</t>
  </si>
  <si>
    <t>Subtotal</t>
  </si>
  <si>
    <t>Solera</t>
  </si>
  <si>
    <t>Vorera perimetral zona superior</t>
  </si>
  <si>
    <t>mt01arr010b</t>
  </si>
  <si>
    <t>Material</t>
  </si>
  <si>
    <t>t</t>
  </si>
  <si>
    <t>Grava de pedrera, de 20 a 30 mm de diàmetre.</t>
  </si>
  <si>
    <t>mq04dua020b</t>
  </si>
  <si>
    <t>Maquinària</t>
  </si>
  <si>
    <t>h</t>
  </si>
  <si>
    <t>Dúmper de descàrrega frontal de 2 t de càrrega útil.</t>
  </si>
  <si>
    <t>mo113</t>
  </si>
  <si>
    <t>Mà d'obra</t>
  </si>
  <si>
    <t>h</t>
  </si>
  <si>
    <t>Peó ordinari construcció.</t>
  </si>
  <si>
    <t>%</t>
  </si>
  <si>
    <t>%</t>
  </si>
  <si>
    <t>Costes directos complementarios</t>
  </si>
  <si>
    <t>ADR030</t>
  </si>
  <si>
    <t>ADR</t>
  </si>
  <si>
    <t>AD</t>
  </si>
  <si>
    <t>AS</t>
  </si>
  <si>
    <t>Capítol</t>
  </si>
  <si>
    <t>Xarxa de sanejament horitzontal</t>
  </si>
  <si>
    <t>ASC</t>
  </si>
  <si>
    <t>Capítol</t>
  </si>
  <si>
    <t>Col·lectors</t>
  </si>
  <si>
    <t>ASC010d</t>
  </si>
  <si>
    <t>Partida</t>
  </si>
  <si>
    <t>m</t>
  </si>
  <si>
    <t>Col·lector soterrat de xarxa horitzontal de sanejament, amb pericons, amb una pendent mínima del 2%, per a l'evacuació d'aigües residuals i/o pluvials, format per tub de PVC llis, sèrie SN-2, rigidesa anular nominal 2 kN/m², de 250 mm de diàmetre exterior, amb junta elàstica, col·locat sobre llit de sorra de 10 cm d'espessor, degudament compactada i anivellada amb picó vibrant de guiat manual, reblert lateral compactant fins als ronyons i posterior reblert amb la mateixa sorra fins a 30 cm per sobre de la generatriu superior de la canonada. Inclús lubricant per a muntatge.</t>
  </si>
  <si>
    <t>Uts.</t>
  </si>
  <si>
    <t>Llargada</t>
  </si>
  <si>
    <t>Amplada</t>
  </si>
  <si>
    <t>Alçada</t>
  </si>
  <si>
    <t>Parcial</t>
  </si>
  <si>
    <t>Subtotal</t>
  </si>
  <si>
    <t>Previsió sanejament</t>
  </si>
  <si>
    <t>Previsió pluvials</t>
  </si>
  <si>
    <t>mt01ara010a</t>
  </si>
  <si>
    <t>Material</t>
  </si>
  <si>
    <t>m³</t>
  </si>
  <si>
    <t>Sorra amb granulometria de 0 a 5 mm de diàmetre, neta.</t>
  </si>
  <si>
    <t>mt11tpb020e</t>
  </si>
  <si>
    <t>Material</t>
  </si>
  <si>
    <t>m</t>
  </si>
  <si>
    <t>Tub de PVC llis, per sanejament soterrat sense pressió, sèrie SN-2, rigidesa anular nominal 2 kN/m², de 250 mm de diàmetre exterior i 4,9 mm de gruix, segons UNE-EN 1401-1, inclús junts de goma.</t>
  </si>
  <si>
    <t>mt11ade100a</t>
  </si>
  <si>
    <t>Material</t>
  </si>
  <si>
    <t>kg</t>
  </si>
  <si>
    <t>Lubrificant per a unió mitjançant junt elàstica de tubs i accessoris.</t>
  </si>
  <si>
    <t>mq04dua020b</t>
  </si>
  <si>
    <t>Maquinària</t>
  </si>
  <si>
    <t>h</t>
  </si>
  <si>
    <t>Dúmper de descàrrega frontal de 2 t de càrrega útil.</t>
  </si>
  <si>
    <t>mq02rop020</t>
  </si>
  <si>
    <t>Maquinària</t>
  </si>
  <si>
    <t>h</t>
  </si>
  <si>
    <t>Picó vibrant de guiat manual, de 80 kg, amb placa de 30x30 cm, tipus piconadora de granota.</t>
  </si>
  <si>
    <t>mq02cia020j</t>
  </si>
  <si>
    <t>Maquinària</t>
  </si>
  <si>
    <t>h</t>
  </si>
  <si>
    <t>Camió cisterna, de 8 m³ de capacitat.</t>
  </si>
  <si>
    <t>mo020</t>
  </si>
  <si>
    <t>Mà d'obra</t>
  </si>
  <si>
    <t>h</t>
  </si>
  <si>
    <t>Oficial 1ª construcció.</t>
  </si>
  <si>
    <t>mo113</t>
  </si>
  <si>
    <t>Mà d'obra</t>
  </si>
  <si>
    <t>h</t>
  </si>
  <si>
    <t>Peó ordinari construcció.</t>
  </si>
  <si>
    <t>mo008</t>
  </si>
  <si>
    <t>Mà d'obra</t>
  </si>
  <si>
    <t>h</t>
  </si>
  <si>
    <t>Oficial 1ª lampista.</t>
  </si>
  <si>
    <t>mo107</t>
  </si>
  <si>
    <t>Mà d'obra</t>
  </si>
  <si>
    <t>h</t>
  </si>
  <si>
    <t>Ajudant lampista.</t>
  </si>
  <si>
    <t>%</t>
  </si>
  <si>
    <t>%</t>
  </si>
  <si>
    <t>Costes directos complementarios</t>
  </si>
  <si>
    <t>ASC010d</t>
  </si>
  <si>
    <t>AUZ015</t>
  </si>
  <si>
    <t>Partida</t>
  </si>
  <si>
    <t>m</t>
  </si>
  <si>
    <t>Rasa drenant en perímetre de mur en contacte amb el terreny, de 50 cm d'altura i 75 cm d'amplada, amb un pendent mínim del 0,50%, per a captació de les aigües que es filtren a través de la superfície del terreny, en el fons del qual es disposa un tub ranurat de PVC de doble paret, l'exterior corrugada i la interior llisa, color teula RAL 8023, amb ranurat al llarg d'un arc de 220° a la vall del corrugat, per drenatge, rigidesa anular nominal 4 kN/m², de 250 mm de diàmetre nominal, 227,9 mm de diàmetre interior, segons UNE-EN 13476-1, longitud nominal 6 m, unió per copa amb junta elàstica d'EPDM, col·locat sobre solera de formigó en massa HM-20/B/20/X0, de 10 cm de gruix, en forma de bressol per a rebre el tub i formar els pendents, amb reomplert de 25 cm a cada costat del tub i reomplert superior de 25 cm per sobre de la generatriu superior del tub amb grava filtrant sense classificar, tot això embolicat en un geotèxtil no teixit compost per fibres de polièster unides per tiretes, amb una resistència a la tracció longitudinal de 1,63 kN/m, una resistència a la tracció transversal de 2,08 kN/m, una obertura de con a l'assaig de perforació dinàmica segons UNE-EN ISO 13433 inferior a 27 mm, resistència CBR a punxonament 0,4 kN i una massa superficial de 200 g/m². Inclús lubricant per a muntatge. Criteri de valoració econòmica: El preu no inclou l'excavació ni el reblert principal. Inclou: Replanteig i traçat del conducte en planta i pendents. Formació de la llosa de formigó. Col·locació del geotèxtil. Descens i col·locació dels tubs en el fons de la rasa. Muntatge, connexionat i comprovació del seu correcte funcionament. Execució del reblert envoltant. Tancament de doble solapa del paquet filtrant realitzat amb el propi geotèxtil. Criteri d'amidament de projecte: Longitud mesurada en projecció horitzontal, segons documentació gràfica de Projecte. Criteri de mesura d'obra: Es mesurarà en projecció horitzontal, la longitud realment executada segons especificacions de Projecte.</t>
  </si>
  <si>
    <t>Uts.</t>
  </si>
  <si>
    <t>Llargada</t>
  </si>
  <si>
    <t>Amplada</t>
  </si>
  <si>
    <t>Alçada</t>
  </si>
  <si>
    <t>Parcial</t>
  </si>
  <si>
    <t>Subtotal</t>
  </si>
  <si>
    <t>Mur contenció</t>
  </si>
  <si>
    <t>mt10hmf010tLb</t>
  </si>
  <si>
    <t>Material</t>
  </si>
  <si>
    <t>m³</t>
  </si>
  <si>
    <t>Formigó HM-20/B/20/X0, fabricat en central.</t>
  </si>
  <si>
    <t>mt11tdv015j</t>
  </si>
  <si>
    <t>Material</t>
  </si>
  <si>
    <t>m</t>
  </si>
  <si>
    <t>Tub ranurat de PVC de doble paret, l'exterior corrugada i la interior llisa, color teula RAL 8023, amb ranurat al llarg d'un arc de 220° a la vall del corrugat, per drenatge, rigidesa anular nominal 4 kN/m², de 250 mm de diàmetre nominal, 227,9 mm de diàmetre interior, segons UNE-EN 13476-1, longitud nominal 6 m, unió per copa amb junta elàstica de EPDM.</t>
  </si>
  <si>
    <t>mt11ade100a</t>
  </si>
  <si>
    <t>Material</t>
  </si>
  <si>
    <t>kg</t>
  </si>
  <si>
    <t>Lubrificant per a unió mitjançant junt elàstica de tubs i accessoris.</t>
  </si>
  <si>
    <t>mt01ard030b</t>
  </si>
  <si>
    <t>Material</t>
  </si>
  <si>
    <t>t</t>
  </si>
  <si>
    <t>Grava filtrant sense classificar.</t>
  </si>
  <si>
    <t>mt14gsa020ce</t>
  </si>
  <si>
    <t>Material</t>
  </si>
  <si>
    <t>m²</t>
  </si>
  <si>
    <t>Geotèxtil no teixit compost per fibres de polièster unides per tiretes, amb una resistència a la tracció longitudinal de 1,63 kN/m, una resistència a la tracció transversal de 2,08 kN/m, una obertura de con a l'assaig de perforació dinàmica segons UNE-EN ISO 13433 inferior a 27 mm, resistència CBR a punxonament 0,4 kN i una massa superficial de 200 g/m², segons UNE-EN 13252.</t>
  </si>
  <si>
    <t>mq04dua020b</t>
  </si>
  <si>
    <t>Maquinària</t>
  </si>
  <si>
    <t>h</t>
  </si>
  <si>
    <t>Dúmper de descàrrega frontal de 2 t de càrrega útil.</t>
  </si>
  <si>
    <t>mq02rop020</t>
  </si>
  <si>
    <t>Maquinària</t>
  </si>
  <si>
    <t>h</t>
  </si>
  <si>
    <t>Picó vibrant de guiat manual, de 80 kg, amb placa de 30x30 cm, tipus piconadora de granota.</t>
  </si>
  <si>
    <t>mo020</t>
  </si>
  <si>
    <t>Mà d'obra</t>
  </si>
  <si>
    <t>h</t>
  </si>
  <si>
    <t>Oficial 1ª construcció.</t>
  </si>
  <si>
    <t>mo112</t>
  </si>
  <si>
    <t>Mà d'obra</t>
  </si>
  <si>
    <t>h</t>
  </si>
  <si>
    <t>Peó especialitzat construcció.</t>
  </si>
  <si>
    <t>%</t>
  </si>
  <si>
    <t>%</t>
  </si>
  <si>
    <t>Costes directos complementarios</t>
  </si>
  <si>
    <t>AUZ015</t>
  </si>
  <si>
    <t>ASC</t>
  </si>
  <si>
    <t>AS</t>
  </si>
  <si>
    <t>AN</t>
  </si>
  <si>
    <t>Capítol</t>
  </si>
  <si>
    <t>Anivellament</t>
  </si>
  <si>
    <t>ANS</t>
  </si>
  <si>
    <t>Capítol</t>
  </si>
  <si>
    <t>Soleres</t>
  </si>
  <si>
    <t>ANS010</t>
  </si>
  <si>
    <t>Partida</t>
  </si>
  <si>
    <t>m²</t>
  </si>
  <si>
    <t>Solera de formigó tipus HA-20/B/20/XC3 amb una quantia d'acer de 4,34 kg/m2 de 25 cm d'espessor, formigó fabricat en central i abocament des de camió, amb malla electrosoldada superior com a armadura de repartiment, ME 20x20 Ø 5-5 B 500 T 6x2,20 UNE-EN 10080, estès i vibrat manual mitjançant regla vibrant, sense tractament de la seva superfície; amb junts de retracció de 5 mm d'espessor, mitjançant tall amb disc de diamant. Inclús panell de poliestirè expandit de 3 cm d'espessor, per a l'execució de juntes de retracció. Acabat fratassat.</t>
  </si>
  <si>
    <t>Uts.</t>
  </si>
  <si>
    <t>Llargada</t>
  </si>
  <si>
    <t>Amplada</t>
  </si>
  <si>
    <t>Alçada</t>
  </si>
  <si>
    <t>Parcial</t>
  </si>
  <si>
    <t>Subtotal</t>
  </si>
  <si>
    <t>Solera edifici</t>
  </si>
  <si>
    <t>mt07aco020n</t>
  </si>
  <si>
    <t>Material</t>
  </si>
  <si>
    <t>U</t>
  </si>
  <si>
    <t>Separador homologat per malla electrosoldada superior.</t>
  </si>
  <si>
    <t>mt07ame010d</t>
  </si>
  <si>
    <t>Material</t>
  </si>
  <si>
    <t>m²</t>
  </si>
  <si>
    <t>Malla electrosoldada ME 20x20 Ø 5-5 B 500 T 6x2,20 UNE-EN 10080.</t>
  </si>
  <si>
    <t>mt10hmf010tOb</t>
  </si>
  <si>
    <t>Material</t>
  </si>
  <si>
    <t>m³</t>
  </si>
  <si>
    <t>Formigó HM-25/B/20/X0, fabricat en central.</t>
  </si>
  <si>
    <t>mt16pea020c</t>
  </si>
  <si>
    <t>Material</t>
  </si>
  <si>
    <t>m²</t>
  </si>
  <si>
    <t>Panell rígid de poliestirè expandit, segons UNE-EN 13163, mecanitzat lateral recte, de 30 mm d'espessor, resistència tèrmica 0,8 m²K/W, conductivitat tèrmica 0,036 W/(mK), per junta de dilatació.</t>
  </si>
  <si>
    <t>mq06vib020</t>
  </si>
  <si>
    <t>Maquinària</t>
  </si>
  <si>
    <t>h</t>
  </si>
  <si>
    <t>Regla vibrant de 3 m.</t>
  </si>
  <si>
    <t>mq06cor020</t>
  </si>
  <si>
    <t>Maquinària</t>
  </si>
  <si>
    <t>h</t>
  </si>
  <si>
    <t>Equip per a tall de juntes en soleres de formigó.</t>
  </si>
  <si>
    <t>mo112</t>
  </si>
  <si>
    <t>Mà d'obra</t>
  </si>
  <si>
    <t>h</t>
  </si>
  <si>
    <t>Peó especialitzat construcció.</t>
  </si>
  <si>
    <t>mo020</t>
  </si>
  <si>
    <t>Mà d'obra</t>
  </si>
  <si>
    <t>h</t>
  </si>
  <si>
    <t>Oficial 1ª construcció.</t>
  </si>
  <si>
    <t>mo113</t>
  </si>
  <si>
    <t>Mà d'obra</t>
  </si>
  <si>
    <t>h</t>
  </si>
  <si>
    <t>Peó ordinari construcció.</t>
  </si>
  <si>
    <t>mo077</t>
  </si>
  <si>
    <t>Mà d'obra</t>
  </si>
  <si>
    <t>h</t>
  </si>
  <si>
    <t>Ajudant construcció.</t>
  </si>
  <si>
    <t>%</t>
  </si>
  <si>
    <t>%</t>
  </si>
  <si>
    <t>Costes directos complementarios</t>
  </si>
  <si>
    <t>ANS010</t>
  </si>
  <si>
    <t>ANS010b</t>
  </si>
  <si>
    <t>Partida</t>
  </si>
  <si>
    <t>m²</t>
  </si>
  <si>
    <t>Solera de formigó amb malla electrosoldada de 15 cm d'espessor, realitzada amb formigó HM-25/B/20/X0 fabricat en central i abocament des de camió, amb malla electrosoldada superior com a armadura de repartiment, ME 20x20 Ø 5-5 B 500 T 6x2,20 UNE-EN 10080, estès i vibrat manual mitjançant regla vibrant, sense tractament de la seva superfície; amb junts de retracció de 5 mm d'espessor, mitjançant tall amb disc de diamant. Inclús panell de poliestirè expandit de 3 cm d'espessor, per a l'execució de juntes de retracció.</t>
  </si>
  <si>
    <t>Uts.</t>
  </si>
  <si>
    <t>Llargada</t>
  </si>
  <si>
    <t>Amplada</t>
  </si>
  <si>
    <t>Alçada</t>
  </si>
  <si>
    <t>Parcial</t>
  </si>
  <si>
    <t>Subtotal</t>
  </si>
  <si>
    <t>Vorera perimetral zona superior</t>
  </si>
  <si>
    <t>0</t>
  </si>
  <si>
    <t>0</t>
  </si>
  <si>
    <t>mt07aco020n</t>
  </si>
  <si>
    <t>Material</t>
  </si>
  <si>
    <t>U</t>
  </si>
  <si>
    <t>Separador homologat per malla electrosoldada superior.</t>
  </si>
  <si>
    <t>mt07ame010d</t>
  </si>
  <si>
    <t>Material</t>
  </si>
  <si>
    <t>m²</t>
  </si>
  <si>
    <t>Malla electrosoldada ME 20x20 Ø 5-5 B 500 T 6x2,20 UNE-EN 10080.</t>
  </si>
  <si>
    <t>mt10hmf010tOb</t>
  </si>
  <si>
    <t>Material</t>
  </si>
  <si>
    <t>m³</t>
  </si>
  <si>
    <t>Formigó HM-25/B/20/X0, fabricat en central.</t>
  </si>
  <si>
    <t>mt16pea020c</t>
  </si>
  <si>
    <t>Material</t>
  </si>
  <si>
    <t>m²</t>
  </si>
  <si>
    <t>Panell rígid de poliestirè expandit, segons UNE-EN 13163, mecanitzat lateral recte, de 30 mm d'espessor, resistència tèrmica 0,8 m²K/W, conductivitat tèrmica 0,036 W/(mK), per junta de dilatació.</t>
  </si>
  <si>
    <t>mq06vib020</t>
  </si>
  <si>
    <t>Maquinària</t>
  </si>
  <si>
    <t>h</t>
  </si>
  <si>
    <t>Regla vibrant de 3 m.</t>
  </si>
  <si>
    <t>mq06cor020</t>
  </si>
  <si>
    <t>Maquinària</t>
  </si>
  <si>
    <t>h</t>
  </si>
  <si>
    <t>Equip per a tall de juntes en soleres de formigó.</t>
  </si>
  <si>
    <t>mo112</t>
  </si>
  <si>
    <t>Mà d'obra</t>
  </si>
  <si>
    <t>h</t>
  </si>
  <si>
    <t>Peó especialitzat construcció.</t>
  </si>
  <si>
    <t>mo020</t>
  </si>
  <si>
    <t>Mà d'obra</t>
  </si>
  <si>
    <t>h</t>
  </si>
  <si>
    <t>Oficial 1ª construcció.</t>
  </si>
  <si>
    <t>mo113</t>
  </si>
  <si>
    <t>Mà d'obra</t>
  </si>
  <si>
    <t>h</t>
  </si>
  <si>
    <t>Peó ordinari construcció.</t>
  </si>
  <si>
    <t>mo077</t>
  </si>
  <si>
    <t>Mà d'obra</t>
  </si>
  <si>
    <t>h</t>
  </si>
  <si>
    <t>Ajudant construcció.</t>
  </si>
  <si>
    <t>%</t>
  </si>
  <si>
    <t>%</t>
  </si>
  <si>
    <t>Costes directos complementarios</t>
  </si>
  <si>
    <t>ANS010b</t>
  </si>
  <si>
    <t>ANS</t>
  </si>
  <si>
    <t>AN</t>
  </si>
  <si>
    <t>A</t>
  </si>
  <si>
    <t>C</t>
  </si>
  <si>
    <t>Capítol</t>
  </si>
  <si>
    <t>Fonamentacions</t>
  </si>
  <si>
    <t>CR</t>
  </si>
  <si>
    <t>Capítol</t>
  </si>
  <si>
    <t>Regularització</t>
  </si>
  <si>
    <t>CRL</t>
  </si>
  <si>
    <t>Capítol</t>
  </si>
  <si>
    <t>Formigó de neteja</t>
  </si>
  <si>
    <t>CRL010</t>
  </si>
  <si>
    <t>Partida</t>
  </si>
  <si>
    <t>m3</t>
  </si>
  <si>
    <t>Capa de formigó de neteja i anivellació de fons de fonamentació, de 10 cm d'espessor, de formigó HL-150/B/20, fabricat en central i abocament des de camió, en el fons de l'excavació prèviament realitzada.</t>
  </si>
  <si>
    <t>Uts.</t>
  </si>
  <si>
    <t>Llargada</t>
  </si>
  <si>
    <t>Amplada</t>
  </si>
  <si>
    <t>Alçada</t>
  </si>
  <si>
    <t>Parcial</t>
  </si>
  <si>
    <t>Subtotal</t>
  </si>
  <si>
    <t>Formigó de neteja</t>
  </si>
  <si>
    <t>mt10hmf011fb</t>
  </si>
  <si>
    <t>Material</t>
  </si>
  <si>
    <t>m³</t>
  </si>
  <si>
    <t>Formigó de neteja HL-150/B/20, fabricat en central.</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</si>
  <si>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</si>
  <si>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</si>
  <si>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</si>
  <si>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</si>
  <si>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</si>
  <si>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</si>
  <si>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</si>
  <si>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</si>
  <si>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</si>
  <si>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</si>
  <si>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</si>
  <si>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CRL010</t>
  </si>
  <si>
    <t>CRL</t>
  </si>
  <si>
    <t>CR</t>
  </si>
  <si>
    <t>CC</t>
  </si>
  <si>
    <t>Capítol</t>
  </si>
  <si>
    <t>Contencions</t>
  </si>
  <si>
    <t>CCS</t>
  </si>
  <si>
    <t>Capítol</t>
  </si>
  <si>
    <t>Murs de soterrani</t>
  </si>
  <si>
    <t>CCS010</t>
  </si>
  <si>
    <t>Partida</t>
  </si>
  <si>
    <t>m³</t>
  </si>
  <si>
    <t>Mur de soterrani de formigó armat, realitzat amb formigó HA-30/B/20/XS1 fabricat en central, amb ciment MR, i abocament amb cubilot, i acer UNE-EN 10080 B 500 S, amb una quantia aproximada de 125,86 kg/m³. Inclús filferro de lligar i separadors.</t>
  </si>
  <si>
    <t>Uts.</t>
  </si>
  <si>
    <t>Llargada</t>
  </si>
  <si>
    <t>Amplada</t>
  </si>
  <si>
    <t>Alçada</t>
  </si>
  <si>
    <t>Parcial</t>
  </si>
  <si>
    <t>Subtotal</t>
  </si>
  <si>
    <t>Murs contenció</t>
  </si>
  <si>
    <t>mt07aco020d</t>
  </si>
  <si>
    <t>Material</t>
  </si>
  <si>
    <t>U</t>
  </si>
  <si>
    <t>Separador homologat per murs.</t>
  </si>
  <si>
    <t>mt07aco010g</t>
  </si>
  <si>
    <t>Material</t>
  </si>
  <si>
    <t>kg</t>
  </si>
  <si>
    <t>Acer en barres corrugades, UNE-EN 10080 B 500 S, subministrat en obra en barres sense elaborar, de varis diàmetres.</t>
  </si>
  <si>
    <t>mt08var050</t>
  </si>
  <si>
    <t>Material</t>
  </si>
  <si>
    <t>kg</t>
  </si>
  <si>
    <t>Filferro galvanitzat per a lligar, de 1,30 mm de diàmetre.</t>
  </si>
  <si>
    <t>mt10haf010itnu</t>
  </si>
  <si>
    <t>Material</t>
  </si>
  <si>
    <t>m³</t>
  </si>
  <si>
    <t>Formigó HA-30/B/20/XS1, fabricat en central, amb ciment MR.</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</si>
  <si>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</si>
  <si>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</si>
  <si>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</si>
  <si>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</si>
  <si>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</si>
  <si>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</si>
  <si>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</si>
  <si>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</si>
  <si>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</si>
  <si>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</si>
  <si>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</si>
  <si>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</si>
  <si>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</si>
  <si>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</si>
  <si>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</si>
  <si>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</si>
  <si>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</si>
  <si>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</si>
  <si>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</si>
  <si>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CCS010</t>
  </si>
  <si>
    <t>CCS020</t>
  </si>
  <si>
    <t>Partida</t>
  </si>
  <si>
    <t>m²</t>
  </si>
  <si>
    <t>Muntatge i desmuntatge, de sistema d'encofrat a una cara amb acabat tipus industrial per revestir, realitzat amb panells metàl·lics modulars, amortitzables en 150 usos, per a formació de mur de formigó armat, d'entre 3 i 6 m d'altura i superfície plana, per a contenció de terres. Inclús; passamurs per a pas dels tensors; elements de sustentació, fixació i apuntalament necessaris per a la seva estabilitat; i líquid desencofrant, per evitar l'adherència del formigó a l'encofrat.</t>
  </si>
  <si>
    <t>Uts.</t>
  </si>
  <si>
    <t>Llargada</t>
  </si>
  <si>
    <t>Amplada</t>
  </si>
  <si>
    <t>Alçada</t>
  </si>
  <si>
    <t>Parcial</t>
  </si>
  <si>
    <t>Subtotal</t>
  </si>
  <si>
    <t>Murs contenció</t>
  </si>
  <si>
    <t>mt08eme070b</t>
  </si>
  <si>
    <t>Material</t>
  </si>
  <si>
    <t>m²</t>
  </si>
  <si>
    <t>Panells metàl·lics modulars, per encofrar murs de formigó d'entre 3 i 6 m d'altura.</t>
  </si>
  <si>
    <t>mt08eme075g</t>
  </si>
  <si>
    <t>Material</t>
  </si>
  <si>
    <t>U</t>
  </si>
  <si>
    <t>Estructura suport de sistema d'encofrat vertical, per a murs de formigó a una cara, d'entre 3 i 6 m d'altura, formada per encavallades metàl·liques per a estabilització i aplomat de la superfície encofrant.</t>
  </si>
  <si>
    <t>mt08dba010d</t>
  </si>
  <si>
    <t>Material</t>
  </si>
  <si>
    <t>l</t>
  </si>
  <si>
    <t>Agent desemmotllant, a base d'olis especials, emulsionant en aigua, per a encofrats metàl·lics, fenòlics o de fusta.</t>
  </si>
  <si>
    <t>mt08var204</t>
  </si>
  <si>
    <t>Material</t>
  </si>
  <si>
    <t>U</t>
  </si>
  <si>
    <t>Passamurs de PVC per a pas dels tensors de l'encofrat, de diversos diàmetres i longituds.</t>
  </si>
  <si>
    <t>mo044</t>
  </si>
  <si>
    <t>Mà d'obra</t>
  </si>
  <si>
    <t>h</t>
  </si>
  <si>
    <t>Oficial 1ª encofrador.</t>
  </si>
  <si>
    <t>mo091</t>
  </si>
  <si>
    <t>Mà d'obra</t>
  </si>
  <si>
    <t>h</t>
  </si>
  <si>
    <t>Ajudant encofrador.</t>
  </si>
  <si>
    <t>%</t>
  </si>
  <si>
    <t>%</t>
  </si>
  <si>
    <t>Costes directos complementarios</t>
  </si>
  <si>
    <t>CCS020</t>
  </si>
  <si>
    <t>CCS</t>
  </si>
  <si>
    <t>CC</t>
  </si>
  <si>
    <t>CS</t>
  </si>
  <si>
    <t>Capítol</t>
  </si>
  <si>
    <t>Superficials</t>
  </si>
  <si>
    <t>CSV</t>
  </si>
  <si>
    <t>Capítol</t>
  </si>
  <si>
    <t>Sabates corregudes</t>
  </si>
  <si>
    <t>CSV010</t>
  </si>
  <si>
    <t>Partida</t>
  </si>
  <si>
    <t>m³</t>
  </si>
  <si>
    <t>Sabata correguda de fonamentació, de formigó armat, realitzada en excavació prèvia, amb formigó HA-25/B/20/XC2 fabricat en central, i abocament des de camió, i acer UNE-EN 10080 B 500 S, amb una quantia aproximada de 70,11 kg/m³. Inclús armadures d'espera dels pilars o altres elements, filferro de lligar, i separadors.</t>
  </si>
  <si>
    <t>Uts.</t>
  </si>
  <si>
    <t>Llargada</t>
  </si>
  <si>
    <t>Amplada</t>
  </si>
  <si>
    <t>Alçada</t>
  </si>
  <si>
    <t>Parcial</t>
  </si>
  <si>
    <t>Subtotal</t>
  </si>
  <si>
    <t>Fonamentació murs contenció</t>
  </si>
  <si>
    <t>mt07aco020a</t>
  </si>
  <si>
    <t>Material</t>
  </si>
  <si>
    <t>U</t>
  </si>
  <si>
    <t>Separador homologat per fonamentacions.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</si>
  <si>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</si>
  <si>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</si>
  <si>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</si>
  <si>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</si>
  <si>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</si>
  <si>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</si>
  <si>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</si>
  <si>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</si>
  <si>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mt10haf010ctmu</t>
  </si>
  <si>
    <t>Material</t>
  </si>
  <si>
    <t>m³</t>
  </si>
  <si>
    <t>Formigó HA-25/B/20/XC2, fabricat en central.</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</si>
  <si>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</si>
  <si>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</si>
  <si>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</si>
  <si>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</si>
  <si>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</si>
  <si>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</si>
  <si>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</si>
  <si>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</si>
  <si>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</si>
  <si>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</si>
  <si>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</si>
  <si>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</si>
  <si>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</si>
  <si>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</si>
  <si>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</si>
  <si>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</si>
  <si>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</si>
  <si>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</si>
  <si>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</si>
  <si>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CSV010</t>
  </si>
  <si>
    <t>CSV</t>
  </si>
  <si>
    <t>CSZ</t>
  </si>
  <si>
    <t>Capítol</t>
  </si>
  <si>
    <t>Sabates</t>
  </si>
  <si>
    <t>CSZ010</t>
  </si>
  <si>
    <t>Partida</t>
  </si>
  <si>
    <t>m³</t>
  </si>
  <si>
    <t>Sabata de fonamentació de formigó armat, realitzada amb formigó HA-25/B/20/XC2 fabricat en central, i abocament des de camió, i acer UNE-EN 10080 B 500 S, amb una quantia aproximada de 81,53 kg/m³. Inclús armadures d'espera del pilar, filferro de lligar, i separadors.</t>
  </si>
  <si>
    <t>Uts.</t>
  </si>
  <si>
    <t>Llargada</t>
  </si>
  <si>
    <t>Amplada</t>
  </si>
  <si>
    <t>Alçada</t>
  </si>
  <si>
    <t>Parcial</t>
  </si>
  <si>
    <t>Subtotal</t>
  </si>
  <si>
    <t>Fonamentació pilars</t>
  </si>
  <si>
    <t>mt07aco020a</t>
  </si>
  <si>
    <t>Material</t>
  </si>
  <si>
    <t>U</t>
  </si>
  <si>
    <t>Separador homologat per fonamentacions.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</si>
  <si>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</si>
  <si>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</si>
  <si>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</si>
  <si>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</si>
  <si>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</si>
  <si>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</si>
  <si>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</si>
  <si>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</si>
  <si>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mt10haf010ctms</t>
  </si>
  <si>
    <t>Material</t>
  </si>
  <si>
    <t>m³</t>
  </si>
  <si>
    <t>Formigó HA-25/F/20/XC2, fabricat en central.</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</si>
  <si>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</si>
  <si>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</si>
  <si>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</si>
  <si>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</si>
  <si>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</si>
  <si>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</si>
  <si>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</si>
  <si>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</si>
  <si>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</si>
  <si>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</si>
  <si>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</si>
  <si>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</si>
  <si>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</si>
  <si>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</si>
  <si>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</si>
  <si>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</si>
  <si>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</si>
  <si>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</si>
  <si>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</si>
  <si>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CSZ010</t>
  </si>
  <si>
    <t>CSZ</t>
  </si>
  <si>
    <t>CS</t>
  </si>
  <si>
    <t>CA</t>
  </si>
  <si>
    <t>Capítol</t>
  </si>
  <si>
    <t>Travaments</t>
  </si>
  <si>
    <t>CAV</t>
  </si>
  <si>
    <t>Capítol</t>
  </si>
  <si>
    <t>Bigues entre sabates</t>
  </si>
  <si>
    <t>CAV010</t>
  </si>
  <si>
    <t>Partida</t>
  </si>
  <si>
    <t>m³</t>
  </si>
  <si>
    <t>Biga de lligat de formigó armat, realitzada amb formigó HA-25/B/20/XC2 fabricat en central, i abocament des de camió, i acer UNE-EN 10080 B 500 S, amb una quantia aproximada de 126,64 kg/m³. Inclús filferro de lligar, i separadors.</t>
  </si>
  <si>
    <t>Uts.</t>
  </si>
  <si>
    <t>Llargada</t>
  </si>
  <si>
    <t>Amplada</t>
  </si>
  <si>
    <t>Alçada</t>
  </si>
  <si>
    <t>Parcial</t>
  </si>
  <si>
    <t>Subtotal</t>
  </si>
  <si>
    <t>Riostres façana</t>
  </si>
  <si>
    <t>mt07aco020a</t>
  </si>
  <si>
    <t>Material</t>
  </si>
  <si>
    <t>U</t>
  </si>
  <si>
    <t>Separador homologat per fonamentacions.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</si>
  <si>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</si>
  <si>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</si>
  <si>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</si>
  <si>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</si>
  <si>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</si>
  <si>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</si>
  <si>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</si>
  <si>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</si>
  <si>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mt10haf010ctmu</t>
  </si>
  <si>
    <t>Material</t>
  </si>
  <si>
    <t>m³</t>
  </si>
  <si>
    <t>Formigó HA-25/B/20/XC2, fabricat en central.</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</si>
  <si>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</si>
  <si>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</si>
  <si>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</si>
  <si>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</si>
  <si>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</si>
  <si>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</si>
  <si>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</si>
  <si>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</si>
  <si>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</si>
  <si>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</si>
  <si>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</si>
  <si>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</si>
  <si>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</si>
  <si>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</si>
  <si>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</si>
  <si>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</si>
  <si>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</si>
  <si>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</si>
  <si>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</si>
  <si>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CAV010</t>
  </si>
  <si>
    <t>CAV010b</t>
  </si>
  <si>
    <t>Partida</t>
  </si>
  <si>
    <t>m³</t>
  </si>
  <si>
    <t>Biga centradora de formigó armat, realitzada amb formigó HA-25/B/20/XC2 fabricat en central, i abocament des de camió, i acer UNE-EN 10080 B 500 S, amb una quantia aproximada de 176,29 kg/m³. Inclús filferro de lligar, i separadors.</t>
  </si>
  <si>
    <t>Uts.</t>
  </si>
  <si>
    <t>Llargada</t>
  </si>
  <si>
    <t>Amplada</t>
  </si>
  <si>
    <t>Alçada</t>
  </si>
  <si>
    <t>Parcial</t>
  </si>
  <si>
    <t>Subtotal</t>
  </si>
  <si>
    <t>Bigues centradores</t>
  </si>
  <si>
    <t>mt07aco020a</t>
  </si>
  <si>
    <t>Material</t>
  </si>
  <si>
    <t>U</t>
  </si>
  <si>
    <t>Separador homologat per fonamentacions.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</si>
  <si>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</si>
  <si>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</si>
  <si>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</si>
  <si>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</si>
  <si>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</si>
  <si>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</si>
  <si>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</si>
  <si>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</si>
  <si>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mt10haf010ctmu</t>
  </si>
  <si>
    <t>Material</t>
  </si>
  <si>
    <t>m³</t>
  </si>
  <si>
    <t>Formigó HA-25/B/20/XC2, fabricat en central.</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</si>
  <si>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</si>
  <si>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</si>
  <si>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</si>
  <si>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</si>
  <si>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</si>
  <si>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</si>
  <si>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</si>
  <si>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</si>
  <si>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</si>
  <si>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</si>
  <si>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</si>
  <si>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</si>
  <si>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</si>
  <si>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</si>
  <si>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</si>
  <si>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</si>
  <si>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</si>
  <si>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</si>
  <si>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</si>
  <si>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CAV010b</t>
  </si>
  <si>
    <t>CAV</t>
  </si>
  <si>
    <t>CA</t>
  </si>
  <si>
    <t>C</t>
  </si>
  <si>
    <t>E</t>
  </si>
  <si>
    <t>Capítol</t>
  </si>
  <si>
    <t>Estructures</t>
  </si>
  <si>
    <t>EA</t>
  </si>
  <si>
    <t>Capítol</t>
  </si>
  <si>
    <t>Acer</t>
  </si>
  <si>
    <t>EAS</t>
  </si>
  <si>
    <t>Capítol</t>
  </si>
  <si>
    <t>Pilars</t>
  </si>
  <si>
    <t>EAS010</t>
  </si>
  <si>
    <t>Partida</t>
  </si>
  <si>
    <t>kg</t>
  </si>
  <si>
    <t>Acer UNE-EN 10025 S275JR, en pilars formats per peces simples de perfils laminats en calent de les sèries IPN, IPE, HEB, HEA, HEM o UPN, acabat amb emprimació antioxidant, col·locats amb unions soldades en obra, a una altura de més de 3 m.</t>
  </si>
  <si>
    <t>Uts.</t>
  </si>
  <si>
    <t>Llargada</t>
  </si>
  <si>
    <t>Amplada</t>
  </si>
  <si>
    <t>Alçada</t>
  </si>
  <si>
    <t>Parcial</t>
  </si>
  <si>
    <t>Subtotal</t>
  </si>
  <si>
    <t>Pilars</t>
  </si>
  <si>
    <t>mt07ala010dab</t>
  </si>
  <si>
    <t>Material</t>
  </si>
  <si>
    <t>kg</t>
  </si>
  <si>
    <t>Acer laminat UNE-EN 10025 S275JR, en perfils laminats en calent, peces simples, per aplicacions estructurals, de les sèries IPN, IPE, HEB, HEA, HEM o UPN, acabat amb emprimació antioxidant. Treballat i muntat en taller, per a col·locar amb unions soldades en obra.</t>
  </si>
  <si>
    <t>mq08sol020</t>
  </si>
  <si>
    <t>Maquinària</t>
  </si>
  <si>
    <t>h</t>
  </si>
  <si>
    <t>Equip i elements auxiliars per soldadura elèctrica.</t>
  </si>
  <si>
    <t>mo047</t>
  </si>
  <si>
    <t>Mà d'obra</t>
  </si>
  <si>
    <t>h</t>
  </si>
  <si>
    <t>Oficial 1ª muntador d'estructura metàl·lica.</t>
  </si>
  <si>
    <t>mo094</t>
  </si>
  <si>
    <t>Mà d'obra</t>
  </si>
  <si>
    <t>h</t>
  </si>
  <si>
    <t>Ajudant muntador d'estructura metàl·lica.</t>
  </si>
  <si>
    <t>%</t>
  </si>
  <si>
    <t>%</t>
  </si>
  <si>
    <t>Costes directos complementarios</t>
  </si>
  <si>
    <t>EAS010</t>
  </si>
  <si>
    <t>EAS</t>
  </si>
  <si>
    <t>EAT</t>
  </si>
  <si>
    <t>Capítol</t>
  </si>
  <si>
    <t>Estructures per a cobertes</t>
  </si>
  <si>
    <t>EAT030</t>
  </si>
  <si>
    <t>Partida</t>
  </si>
  <si>
    <t>kg</t>
  </si>
  <si>
    <t>Acer UNE-EN 10025 S275JR, en corretges metàl·liques formades per peces simples de perfils laminats en calent de les sèries IPN, IPE, HEB, HEA, HEM o UPN, acabat amb emprimació antioxidant, fixades a les encavallades amb unions soldades en obra.</t>
  </si>
  <si>
    <t>Uts.</t>
  </si>
  <si>
    <t>Llargada</t>
  </si>
  <si>
    <t>Amplada</t>
  </si>
  <si>
    <t>Alçada</t>
  </si>
  <si>
    <t>Parcial</t>
  </si>
  <si>
    <t>Subtotal</t>
  </si>
  <si>
    <t>Bigues coberta</t>
  </si>
  <si>
    <t>Corretges coberta</t>
  </si>
  <si>
    <t>mt07ala245a</t>
  </si>
  <si>
    <t>Material</t>
  </si>
  <si>
    <t>kg</t>
  </si>
  <si>
    <t>Acer laminat UNE-EN 10025 S275JR, per a corretja formada per peça simple, de perfils laminats en calent de les sèries IPN, IPE, HEB, HEA, HEM i UPN, acabat amb emprimació antioxidant, treballat en taller, per a col·locar en obra mitjançant soldadura.</t>
  </si>
  <si>
    <t>mq08sol010</t>
  </si>
  <si>
    <t>Maquinària</t>
  </si>
  <si>
    <t>h</t>
  </si>
  <si>
    <t>Equip d'oxitall, amb acetilè com combustible i oxigen com comburent.</t>
  </si>
  <si>
    <t>mo047</t>
  </si>
  <si>
    <t>Mà d'obra</t>
  </si>
  <si>
    <t>h</t>
  </si>
  <si>
    <t>Oficial 1ª muntador d'estructura metàl·lica.</t>
  </si>
  <si>
    <t>mo094</t>
  </si>
  <si>
    <t>Mà d'obra</t>
  </si>
  <si>
    <t>h</t>
  </si>
  <si>
    <t>Ajudant muntador d'estructura metàl·lica.</t>
  </si>
  <si>
    <t>%</t>
  </si>
  <si>
    <t>%</t>
  </si>
  <si>
    <t>Costes directos complementarios</t>
  </si>
  <si>
    <t>EAT030</t>
  </si>
  <si>
    <t>EAT</t>
  </si>
  <si>
    <t>EAV</t>
  </si>
  <si>
    <t>Capítol</t>
  </si>
  <si>
    <t>Bigues</t>
  </si>
  <si>
    <t>EAV010</t>
  </si>
  <si>
    <t>Partida</t>
  </si>
  <si>
    <t>kg</t>
  </si>
  <si>
    <t>Acer UNE-EN 10025 S275JR, en bigues formades por peces simples de perfils laminats en calent de les sèries IPN, IPE, HEB, HEA, HEM o UPN, acabat amb emprimació antioxidant, amb unions soldades en obra, a una altura de més de 3 m.</t>
  </si>
  <si>
    <t>Uts.</t>
  </si>
  <si>
    <t>Llargada</t>
  </si>
  <si>
    <t>Amplada</t>
  </si>
  <si>
    <t>Alçada</t>
  </si>
  <si>
    <t>Parcial</t>
  </si>
  <si>
    <t>Subtotal</t>
  </si>
  <si>
    <t>Bigues i corretges altells</t>
  </si>
  <si>
    <t>Perfil suport forjat col·laborant en mur</t>
  </si>
  <si>
    <t>mt07ala010dab</t>
  </si>
  <si>
    <t>Material</t>
  </si>
  <si>
    <t>kg</t>
  </si>
  <si>
    <t>Acer laminat UNE-EN 10025 S275JR, en perfils laminats en calent, peces simples, per aplicacions estructurals, de les sèries IPN, IPE, HEB, HEA, HEM o UPN, acabat amb emprimació antioxidant. Treballat i muntat en taller, per a col·locar amb unions soldades en obra.</t>
  </si>
  <si>
    <t>mq08sol020</t>
  </si>
  <si>
    <t>Maquinària</t>
  </si>
  <si>
    <t>h</t>
  </si>
  <si>
    <t>Equip i elements auxiliars per soldadura elèctrica.</t>
  </si>
  <si>
    <t>mo047</t>
  </si>
  <si>
    <t>Mà d'obra</t>
  </si>
  <si>
    <t>h</t>
  </si>
  <si>
    <t>Oficial 1ª muntador d'estructura metàl·lica.</t>
  </si>
  <si>
    <t>mo094</t>
  </si>
  <si>
    <t>Mà d'obra</t>
  </si>
  <si>
    <t>h</t>
  </si>
  <si>
    <t>Ajudant muntador d'estructura metàl·lica.</t>
  </si>
  <si>
    <t>%</t>
  </si>
  <si>
    <t>%</t>
  </si>
  <si>
    <t>Costes directos complementarios</t>
  </si>
  <si>
    <t>EAV010</t>
  </si>
  <si>
    <t>EAV</t>
  </si>
  <si>
    <t>EA</t>
  </si>
  <si>
    <t>EH</t>
  </si>
  <si>
    <t>Capítol</t>
  </si>
  <si>
    <t>Formigó armat</t>
  </si>
  <si>
    <t>EHX</t>
  </si>
  <si>
    <t>Capítol</t>
  </si>
  <si>
    <t>Lloses mixtes</t>
  </si>
  <si>
    <t>EHX005</t>
  </si>
  <si>
    <t>Partida</t>
  </si>
  <si>
    <t>m²</t>
  </si>
  <si>
    <t>Llosa mixta de 18 cm de cantell (6+12), amb xapa col·laborant d'acer galvanitzat amb forma xapa grecada, de 0,80 mm d'espessor, 60 mm d'altura de perfil i 164 mm d'intereix, 10 connectors soldats d'acer galvanitzat, de 19 mm de diàmetre i 81 mm d'altura i formigó armat realitzat amb formigó HA-30/F/20/XC3 fabricat en central, i abocament amb cubilot, volum total de formigó 0,082 m³/m²; acer UNE-EN 10080 B 500 S, amb una quantia total de 12,4 kg/m²; i malla electrosoldada ME 15x30 Ø 6-6 B 500 T 6x2,20 UNE-EN 10080; recolzat tot això sobre estructura metàl·lica. Inclús peces angulars per rematades perimetrals i de volades, cargols per a fixació de les xapes, filferro de lligar, separadors i agent filmogen, per la cura de formigons i morters.</t>
  </si>
  <si>
    <t>Uts.</t>
  </si>
  <si>
    <t>Llargada</t>
  </si>
  <si>
    <t>Amplada</t>
  </si>
  <si>
    <t>Alçada</t>
  </si>
  <si>
    <t>Parcial</t>
  </si>
  <si>
    <t>Subtotal</t>
  </si>
  <si>
    <t>Forjat coberta</t>
  </si>
  <si>
    <t>mt07pcl010adbca</t>
  </si>
  <si>
    <t>Material</t>
  </si>
  <si>
    <t>m²</t>
  </si>
  <si>
    <t>Perfil de xapa d'acer galvanitzat amb forma xapa grecada, de 0,8 mm d'espessor, 60 mm d'altura de perfil i 164 mm d'intereix, 8 a 9 kg/m² i un moment d'inèrcia de 60 a 70 cm4.</t>
  </si>
  <si>
    <t>mt07pcl020</t>
  </si>
  <si>
    <t>Material</t>
  </si>
  <si>
    <t>m</t>
  </si>
  <si>
    <t>Peça angular de xapa d'acer galvanitzat, per rematades perimetrals i de volades.</t>
  </si>
  <si>
    <t>mt07pcl030</t>
  </si>
  <si>
    <t>Material</t>
  </si>
  <si>
    <t>U</t>
  </si>
  <si>
    <t>Cargol autoforadant rosca-xapa, per a fixació de xapes.</t>
  </si>
  <si>
    <t>mt07aco020i</t>
  </si>
  <si>
    <t>Material</t>
  </si>
  <si>
    <t>U</t>
  </si>
  <si>
    <t>Separador homologat per lloses.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</si>
  <si>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</si>
  <si>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</si>
  <si>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</si>
  <si>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</si>
  <si>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</si>
  <si>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</si>
  <si>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</si>
  <si>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</si>
  <si>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mt07ame010h</t>
  </si>
  <si>
    <t>Material</t>
  </si>
  <si>
    <t>m²</t>
  </si>
  <si>
    <t>Malla electrosoldada ME 15x30 Ø 6-6 B 500 T 6x2,20 UNE-EN 10080.</t>
  </si>
  <si>
    <t>mt10haf010dtns</t>
  </si>
  <si>
    <t>Material</t>
  </si>
  <si>
    <t>m³</t>
  </si>
  <si>
    <t>Formigó HA-30/F/20/XC3, fabricat en central.</t>
  </si>
  <si>
    <t>mt07cem040a</t>
  </si>
  <si>
    <t>Material</t>
  </si>
  <si>
    <t>U</t>
  </si>
  <si>
    <t>Connector d'acer galvanitzat amb cap de disc, de 19 mm de diàmetre i 81 mm d'altura, per fixar a estructura d'acer mitjançant soldadura a la xapa col·laborant.</t>
  </si>
  <si>
    <t>mt08cur020a</t>
  </si>
  <si>
    <t>Material</t>
  </si>
  <si>
    <t>l</t>
  </si>
  <si>
    <t>Agent filmogen, per la cura de formigons i morters.</t>
  </si>
  <si>
    <t>mq08sol030</t>
  </si>
  <si>
    <t>Maquinària</t>
  </si>
  <si>
    <t>h</t>
  </si>
  <si>
    <t>Equip i elements auxiliars per soldadura de connectors.</t>
  </si>
  <si>
    <t>mo047</t>
  </si>
  <si>
    <t>Mà d'obra</t>
  </si>
  <si>
    <t>h</t>
  </si>
  <si>
    <t>Oficial 1ª muntador d'estructura metàl·lica.</t>
  </si>
  <si>
    <t>mo094</t>
  </si>
  <si>
    <t>Mà d'obra</t>
  </si>
  <si>
    <t>h</t>
  </si>
  <si>
    <t>Ajudant muntador d'estructura metàl·lica.</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</si>
  <si>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</si>
  <si>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</si>
  <si>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</si>
  <si>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</si>
  <si>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</si>
  <si>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</si>
  <si>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</si>
  <si>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</si>
  <si>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</si>
  <si>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</si>
  <si>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</si>
  <si>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</si>
  <si>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</si>
  <si>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</si>
  <si>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</si>
  <si>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</si>
  <si>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</si>
  <si>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</si>
  <si>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</si>
  <si>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EHX005</t>
  </si>
  <si>
    <t>EHX005b</t>
  </si>
  <si>
    <t>Partida</t>
  </si>
  <si>
    <t>m²</t>
  </si>
  <si>
    <t>Llosa mixta de 10 cm de cantell (6+4), amb xapa col·laborant d'acer galvanitzat amb forma xapa grecada, de 0,80 mm d'espessor, 60 mm d'altura de perfil i 164 mm d'intereix, 10 connectors soldats d'acer galvanitzat, de 19 mm de diàmetre i 81 mm d'altura i formigó armat realitzat amb formigó HA-30/F/20/XC3 fabricat en central, i abocament amb cubilot, volum total de formigó 0,062 m³/m²; acer UNE-EN 10080 B 500 S, amb una quantia total de 7,9 kg/m²; i malla electrosoldada ME 15x30 Ø 6-6 B 500 T 6x2,20 UNE-EN 10080; recolzat tot això sobre estructura metàl·lica. Inclús peces angulars per rematades perimetrals i de volades, cargols per a fixació de les xapes, filferro de lligar, separadors i agent filmogen, per la cura de formigons i morters.</t>
  </si>
  <si>
    <t>Uts.</t>
  </si>
  <si>
    <t>Llargada</t>
  </si>
  <si>
    <t>Amplada</t>
  </si>
  <si>
    <t>Alçada</t>
  </si>
  <si>
    <t>Parcial</t>
  </si>
  <si>
    <t>Subtotal</t>
  </si>
  <si>
    <t>Forjat altells</t>
  </si>
  <si>
    <t>mt07pcl010adbca</t>
  </si>
  <si>
    <t>Material</t>
  </si>
  <si>
    <t>m²</t>
  </si>
  <si>
    <t>Perfil de xapa d'acer galvanitzat amb forma xapa grecada, de 0,8 mm d'espessor, 60 mm d'altura de perfil i 164 mm d'intereix, 8 a 9 kg/m² i un moment d'inèrcia de 60 a 70 cm4.</t>
  </si>
  <si>
    <t>mt07pcl020</t>
  </si>
  <si>
    <t>Material</t>
  </si>
  <si>
    <t>m</t>
  </si>
  <si>
    <t>Peça angular de xapa d'acer galvanitzat, per rematades perimetrals i de volades.</t>
  </si>
  <si>
    <t>mt07pcl030</t>
  </si>
  <si>
    <t>Material</t>
  </si>
  <si>
    <t>U</t>
  </si>
  <si>
    <t>Cargol autoforadant rosca-xapa, per a fixació de xapes.</t>
  </si>
  <si>
    <t>mt07aco020i</t>
  </si>
  <si>
    <t>Material</t>
  </si>
  <si>
    <t>U</t>
  </si>
  <si>
    <t>Separador homologat per lloses.</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</si>
  <si>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</si>
  <si>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</si>
  <si>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</si>
  <si>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</si>
  <si>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</si>
  <si>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</si>
  <si>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</si>
  <si>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</si>
  <si>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mt07ame010h</t>
  </si>
  <si>
    <t>Material</t>
  </si>
  <si>
    <t>m²</t>
  </si>
  <si>
    <t>Malla electrosoldada ME 15x30 Ø 6-6 B 500 T 6x2,20 UNE-EN 10080.</t>
  </si>
  <si>
    <t>mt10haf010dtns</t>
  </si>
  <si>
    <t>Material</t>
  </si>
  <si>
    <t>m³</t>
  </si>
  <si>
    <t>Formigó HA-30/F/20/XC3, fabricat en central.</t>
  </si>
  <si>
    <t>mt07cem040a</t>
  </si>
  <si>
    <t>Material</t>
  </si>
  <si>
    <t>U</t>
  </si>
  <si>
    <t>Connector d'acer galvanitzat amb cap de disc, de 19 mm de diàmetre i 81 mm d'altura, per fixar a estructura d'acer mitjançant soldadura a la xapa col·laborant.</t>
  </si>
  <si>
    <t>mt08cur020a</t>
  </si>
  <si>
    <t>Material</t>
  </si>
  <si>
    <t>l</t>
  </si>
  <si>
    <t>Agent filmogen, per la cura de formigons i morters.</t>
  </si>
  <si>
    <t>mq08sol030</t>
  </si>
  <si>
    <t>Maquinària</t>
  </si>
  <si>
    <t>h</t>
  </si>
  <si>
    <t>Equip i elements auxiliars per soldadura de connectors.</t>
  </si>
  <si>
    <t>mo047</t>
  </si>
  <si>
    <t>Mà d'obra</t>
  </si>
  <si>
    <t>h</t>
  </si>
  <si>
    <t>Oficial 1ª muntador d'estructura metàl·lica.</t>
  </si>
  <si>
    <t>mo094</t>
  </si>
  <si>
    <t>Mà d'obra</t>
  </si>
  <si>
    <t>h</t>
  </si>
  <si>
    <t>Ajudant muntador d'estructura metàl·lica.</t>
  </si>
  <si>
    <t>mo043</t>
  </si>
  <si>
    <t>Mà d'obra</t>
  </si>
  <si>
    <t>h</t>
  </si>
  <si>
    <t>Oficial 1ª ferrallista.</t>
  </si>
  <si>
    <t>mo090</t>
  </si>
  <si>
    <t>Mà d'obra</t>
  </si>
  <si>
    <t>h</t>
  </si>
  <si>
    <t>Ajudant ferrallista.</t>
  </si>
  <si>
    <t>mo045</t>
  </si>
  <si>
    <t>Mà d'obra</t>
  </si>
  <si>
    <t>h</t>
  </si>
  <si>
    <t>Oficial 1ª estructurista, en treballs de posada en obra del formigó.</t>
  </si>
  <si>
    <t>mo092</t>
  </si>
  <si>
    <t>Mà d'obra</t>
  </si>
  <si>
    <t>h</t>
  </si>
  <si>
    <t>Ajudant estructurista, en treballs de posada en obra del formigó.</t>
  </si>
  <si>
    <t>%</t>
  </si>
  <si>
    <t>%</t>
  </si>
  <si>
    <t>Costes directos complementarios</t>
  </si>
  <si>
    <t>EHX005b</t>
  </si>
  <si>
    <t>EHX</t>
  </si>
  <si>
    <t>EH</t>
  </si>
  <si>
    <t>E</t>
  </si>
  <si>
    <t>F</t>
  </si>
  <si>
    <t>Capítol</t>
  </si>
  <si>
    <t>Façanes i particions</t>
  </si>
  <si>
    <t>FF</t>
  </si>
  <si>
    <t>Capítol</t>
  </si>
  <si>
    <t>Fàbrica no estructural</t>
  </si>
  <si>
    <t>FFF</t>
  </si>
  <si>
    <t>Capítol</t>
  </si>
  <si>
    <t>Façana d'un full</t>
  </si>
  <si>
    <t>FFX020</t>
  </si>
  <si>
    <t>Partida</t>
  </si>
  <si>
    <t>m²</t>
  </si>
  <si>
    <t>Full exterior de façana cara vista, de 20 cm d'espessor, de fàbrica de bloc CV de formigó, llis hidròfug, color gris, 40x20x20 cm, resistència normalitzada R10 (10 N/mm²), amb junts horitzontals i verticals de 10 mm d'espessor, junt renfonsada, rebuda amb morter de ciment industrial, color gris, M-5, subministrat a granel. Revestiment dels fronts de forjat i pilars amb plaquetes de formigó, col·locades amb morter d'alta adherència.</t>
  </si>
  <si>
    <t>Uts.</t>
  </si>
  <si>
    <t>Llargada</t>
  </si>
  <si>
    <t>Amplada</t>
  </si>
  <si>
    <t>Alçada</t>
  </si>
  <si>
    <t>Parcial</t>
  </si>
  <si>
    <t>Subtotal</t>
  </si>
  <si>
    <t>Façana vial</t>
  </si>
  <si>
    <t>mt03bhe010ade</t>
  </si>
  <si>
    <t>Material</t>
  </si>
  <si>
    <t>U</t>
  </si>
  <si>
    <t>Bloc CV de formigó, llis hidròfug, color gris, 40x20x20 cm, categoria II, resistència normalitzada R10 (10 N/mm²), densitat 1150 kg/m³; amb el preu incrementat el 20% en concepte de peces especials: cèrcols i medis. Segons UNE-EN 771-3.</t>
  </si>
  <si>
    <t>mt08aaa010a</t>
  </si>
  <si>
    <t>Material</t>
  </si>
  <si>
    <t>m³</t>
  </si>
  <si>
    <t>Aigua.</t>
  </si>
  <si>
    <t>mt09mif010cb</t>
  </si>
  <si>
    <t>Material</t>
  </si>
  <si>
    <t>t</t>
  </si>
  <si>
    <t>Morter industrial per a obra de paleta, de ciment, color gris, categoria M-5 (resistència a compressió 5 N/mm²), subministrat a granel, segons UNE-EN 998-2.</t>
  </si>
  <si>
    <t>mt03bhe012aa</t>
  </si>
  <si>
    <t>Material</t>
  </si>
  <si>
    <t>U</t>
  </si>
  <si>
    <t>Plaqueta CV de formigó, llis, color gris, 40x20x4 cm.</t>
  </si>
  <si>
    <t>mt09moe020a</t>
  </si>
  <si>
    <t>Material</t>
  </si>
  <si>
    <t>kg</t>
  </si>
  <si>
    <t>Adhesiu cimentós millorat de lligants mixtos, C2 TE, per a la col·locació en capa gruixuda de peces ceràmiques en paraments verticals exteriors, segons UNE-EN 12004</t>
  </si>
  <si>
    <t>mt08adt010</t>
  </si>
  <si>
    <t>Material</t>
  </si>
  <si>
    <t>kg</t>
  </si>
  <si>
    <t>Additiu hidròfug per a impermeabilització de morters o formigons.</t>
  </si>
  <si>
    <t>mq06mms010</t>
  </si>
  <si>
    <t>Maquinària</t>
  </si>
  <si>
    <t>h</t>
  </si>
  <si>
    <t>Mesclador continu amb sitja, per a morter industrial en sec, subministrat a granel.</t>
  </si>
  <si>
    <t>mo021</t>
  </si>
  <si>
    <t>Mà d'obra</t>
  </si>
  <si>
    <t>h</t>
  </si>
  <si>
    <t>Oficial 1ª construcció en treballs de ram de paleta.</t>
  </si>
  <si>
    <t>mo114</t>
  </si>
  <si>
    <t>Mà d'obra</t>
  </si>
  <si>
    <t>h</t>
  </si>
  <si>
    <t>Peó ordinari construcció en treballs de ram de paleta.</t>
  </si>
  <si>
    <t>%</t>
  </si>
  <si>
    <t>%</t>
  </si>
  <si>
    <t>Costes directos complementarios</t>
  </si>
  <si>
    <t>FFX020</t>
  </si>
  <si>
    <t>FFF</t>
  </si>
  <si>
    <t>FF</t>
  </si>
  <si>
    <t>FC</t>
  </si>
  <si>
    <t>Capítol</t>
  </si>
  <si>
    <t>Llindars</t>
  </si>
  <si>
    <t>FCB</t>
  </si>
  <si>
    <t>Capítol</t>
  </si>
  <si>
    <t>De fàbrica de blocs de formigó per a revestir</t>
  </si>
  <si>
    <t>FCB010</t>
  </si>
  <si>
    <t>Partida</t>
  </si>
  <si>
    <t>m</t>
  </si>
  <si>
    <t>Llinda de 20 cm d'espessor, de fàbrica armada de blocs en "U" de formigó, llisos, color gris, 40x20x20 cm, resistència normalitzada R10 (10 N/mm²), per revestir, rebudes amb morter de ciment industrial, color gris, M-7,5, subministrat a granel; amb reforç de formigó de replè, HA-25/B/12/XC2, preparat en obra, abocament amb mitjans manuals, i acer UNE-EN 10080 B 500 S, quantia 4,3 kg/m; muntatge i desmuntatge d'estintolament compost per 2 puntals metàl·lics telescòpics, amortitzables en 150 usos i taulers de fusta de pi, amortitzables en 10 usos.</t>
  </si>
  <si>
    <t>Uts.</t>
  </si>
  <si>
    <t>Llargada</t>
  </si>
  <si>
    <t>Amplada</t>
  </si>
  <si>
    <t>Alçada</t>
  </si>
  <si>
    <t>Parcial</t>
  </si>
  <si>
    <t>Subtotal</t>
  </si>
  <si>
    <t>Finestra F01</t>
  </si>
  <si>
    <t>Porta exterior PE01</t>
  </si>
  <si>
    <t>Porta exterior PE02</t>
  </si>
  <si>
    <t>mt02bhp020f</t>
  </si>
  <si>
    <t>Material</t>
  </si>
  <si>
    <t>U</t>
  </si>
  <si>
    <t>Bloc en "U" de formigó, llis, color gris, 40x20x20 cm, resistència normalitzada R10 (10 N/mm²), per revestir. Segons UNE-EN 771-3.</t>
  </si>
  <si>
    <t>mt09mif010db</t>
  </si>
  <si>
    <t>Material</t>
  </si>
  <si>
    <t>t</t>
  </si>
  <si>
    <t>Morter industrial per a obra de paleta, de ciment, color gris, categoria M-7,5 (resistència a compressió 7,5 N/mm²), subministrat a granel, segons UNE-EN 998-2.</t>
  </si>
  <si>
    <t>mt08aaa010a</t>
  </si>
  <si>
    <t>Material</t>
  </si>
  <si>
    <t>m³</t>
  </si>
  <si>
    <t>Aigua.</t>
  </si>
  <si>
    <t>mt07aco010c</t>
  </si>
  <si>
    <t>Material</t>
  </si>
  <si>
    <t>kg</t>
  </si>
  <si>
    <t>Ferralla elaborada en taller industrial amb acer en barres corrugades, UNE-EN 10080 B 500 S, de varis diàmetres.</t>
  </si>
  <si>
    <t>mt08var050</t>
  </si>
  <si>
    <t>Material</t>
  </si>
  <si>
    <t>kg</t>
  </si>
  <si>
    <t>Filferro galvanitzat per a lligar, de 1,30 mm de diàmetre.</t>
  </si>
  <si>
    <t>mt08cem011a</t>
  </si>
  <si>
    <t>Material</t>
  </si>
  <si>
    <t>kg</t>
  </si>
  <si>
    <t>Ciment Pòrtland CEM II/B-L 32,5 R, color gris, en sacs, segons UNE-EN 197-1.</t>
  </si>
  <si>
    <t>mt01arg006</t>
  </si>
  <si>
    <t>Material</t>
  </si>
  <si>
    <t>t</t>
  </si>
  <si>
    <t>Sorra de cantera, per a formigó preparat en obra.</t>
  </si>
  <si>
    <t>mt01arg007b</t>
  </si>
  <si>
    <t>Material</t>
  </si>
  <si>
    <t>t</t>
  </si>
  <si>
    <t>Àrid gruixut homogeneïtzat, de mida màxima 12 mm.</t>
  </si>
  <si>
    <t>mt50spa050m</t>
  </si>
  <si>
    <t>Material</t>
  </si>
  <si>
    <t>m³</t>
  </si>
  <si>
    <t>Tauló de fusta de pi, dimensions 20x7,2 cm.</t>
  </si>
  <si>
    <t>mt50spa101</t>
  </si>
  <si>
    <t>Material</t>
  </si>
  <si>
    <t>kg</t>
  </si>
  <si>
    <t>Claus d'acer.</t>
  </si>
  <si>
    <t>mt50spa081a</t>
  </si>
  <si>
    <t>Material</t>
  </si>
  <si>
    <t>U</t>
  </si>
  <si>
    <t>Puntal metàl·lic telescòpic, de fins a 3 m d'altura.</t>
  </si>
  <si>
    <t>mq06hor010</t>
  </si>
  <si>
    <t>Maquinària</t>
  </si>
  <si>
    <t>h</t>
  </si>
  <si>
    <t>Formigonera elèctrica amb una capacitat de pastat de 160 l.</t>
  </si>
  <si>
    <t>mq06mms010</t>
  </si>
  <si>
    <t>Maquinària</t>
  </si>
  <si>
    <t>h</t>
  </si>
  <si>
    <t>Mesclador continu amb sitja, per a morter industrial en sec, subministrat a granel.</t>
  </si>
  <si>
    <t>mo021</t>
  </si>
  <si>
    <t>Mà d'obra</t>
  </si>
  <si>
    <t>h</t>
  </si>
  <si>
    <t>Oficial 1ª construcció en treballs de ram de paleta.</t>
  </si>
  <si>
    <t>mo114</t>
  </si>
  <si>
    <t>Mà d'obra</t>
  </si>
  <si>
    <t>h</t>
  </si>
  <si>
    <t>Peó ordinari construcció en treballs de ram de paleta.</t>
  </si>
  <si>
    <t>mo043</t>
  </si>
  <si>
    <t>Mà d'obra</t>
  </si>
  <si>
    <t>h</t>
  </si>
  <si>
    <t>Oficial 1ª ferrallista.</t>
  </si>
  <si>
    <t>mo090</t>
  </si>
  <si>
    <t>Mà d'obra</t>
  </si>
  <si>
    <t>h</t>
  </si>
  <si>
    <t>Ajudant ferrallista.</t>
  </si>
  <si>
    <t>%</t>
  </si>
  <si>
    <t>%</t>
  </si>
  <si>
    <t>Costes directos complementarios</t>
  </si>
  <si>
    <t>FCB010</t>
  </si>
  <si>
    <t>FCB</t>
  </si>
  <si>
    <t>FC</t>
  </si>
  <si>
    <t>FD</t>
  </si>
  <si>
    <t>Capítol</t>
  </si>
  <si>
    <t>Defenses</t>
  </si>
  <si>
    <t>FDR</t>
  </si>
  <si>
    <t>Capítol</t>
  </si>
  <si>
    <t>Reixes metàl·liques</t>
  </si>
  <si>
    <t>FDR010</t>
  </si>
  <si>
    <t>Partida</t>
  </si>
  <si>
    <t>m²</t>
  </si>
  <si>
    <t>Reixa metàl·lica composada per bastidor de llistó quadrat de perfil massís d'acer laminat en calent de 12x12 mm, barrots horitzontals de llistó quadrat de perfil massís d'acer laminat en calent de 12x12 mm i barrots verticals de llistó quadrat de perfil massís d'acer laminat en calent de 12x12 mm. Inclús patilles d'ancoratge per a rebut en obra de fàbrica amb morter de ciment, industrial, M-5. Elaboració en taller i ajustament final a obra.</t>
  </si>
  <si>
    <t>Uts.</t>
  </si>
  <si>
    <t>Llargada</t>
  </si>
  <si>
    <t>Amplada</t>
  </si>
  <si>
    <t>Alçada</t>
  </si>
  <si>
    <t>Parcial</t>
  </si>
  <si>
    <t>Subtotal</t>
  </si>
  <si>
    <t>Finestra F01</t>
  </si>
  <si>
    <t>mt26aac010aa</t>
  </si>
  <si>
    <t>Material</t>
  </si>
  <si>
    <t>m</t>
  </si>
  <si>
    <t>Llistó quadrat de perfil massís d'acer laminat en calent de 12x12 mm, muntat en taller amb tractament anticorrosiu segons UNE-EN ISO 1461 i emprimació SHOP-PRIMER a base de resina polivinil-butiral amb un gruix mig de recobriment de 20 micres.</t>
  </si>
  <si>
    <t>mt07ala020a</t>
  </si>
  <si>
    <t>Material</t>
  </si>
  <si>
    <t>U</t>
  </si>
  <si>
    <t>Patilla d'ancoratge de platina d'acer laminat S235JR, 30x40x100 mm.</t>
  </si>
  <si>
    <t>mt08aaa010a</t>
  </si>
  <si>
    <t>Material</t>
  </si>
  <si>
    <t>m³</t>
  </si>
  <si>
    <t>Aigua.</t>
  </si>
  <si>
    <t>mt09mif010ca</t>
  </si>
  <si>
    <t>Material</t>
  </si>
  <si>
    <t>t</t>
  </si>
  <si>
    <t>Morter industrial per a obra de paleta, de ciment, color gris, categoria M-5 (resistència a compressió 5 N/mm²), subministrat en sacs, segons UNE-EN 998-2.</t>
  </si>
  <si>
    <t>mo020</t>
  </si>
  <si>
    <t>Mà d'obra</t>
  </si>
  <si>
    <t>h</t>
  </si>
  <si>
    <t>Oficial 1ª construcció.</t>
  </si>
  <si>
    <t>mo113</t>
  </si>
  <si>
    <t>Mà d'obra</t>
  </si>
  <si>
    <t>h</t>
  </si>
  <si>
    <t>Peó ordinari construcció.</t>
  </si>
  <si>
    <t>%</t>
  </si>
  <si>
    <t>%</t>
  </si>
  <si>
    <t>Costes directos complementarios</t>
  </si>
  <si>
    <t>FDR010</t>
  </si>
  <si>
    <t>FDR</t>
  </si>
  <si>
    <t>FD</t>
  </si>
  <si>
    <t>F</t>
  </si>
  <si>
    <t>L</t>
  </si>
  <si>
    <t>Capítol</t>
  </si>
  <si>
    <t>Fusteria i vidres</t>
  </si>
  <si>
    <t>LC</t>
  </si>
  <si>
    <t>Capítol</t>
  </si>
  <si>
    <t>Fusteria</t>
  </si>
  <si>
    <t>LCP</t>
  </si>
  <si>
    <t>Capítol</t>
  </si>
  <si>
    <t>De PVC</t>
  </si>
  <si>
    <t>LCP060</t>
  </si>
  <si>
    <t>Partida</t>
  </si>
  <si>
    <t>U</t>
  </si>
  <si>
    <t>Finestra de PVC, dues fulles corredisses, dimensions 2500x1200 mm, composta de marc, fulla i rivets, color gris antracita, perfils de 80 mm d'amplada, soldats a biaix, que incorporen tres càmeres interiors, tant en la secció de la fulla com en la del marc, per a millora de l'aïllament tèrmic; galze amb pendent del 5% per facilitar el desguàs; amb reforços interiors, junts d'estanquitat d'EPDM, maneta i ferraments; transmitància tèrmica del marc: Uh,m = 2,3 W/(m²K); gruix màxim de l'envidriament: 28 mm; composta per marc, fulles, ferramentes de penjar i obertura, elements d'estanquitat i accessoris homologats, amb classificació a la permeabilitat a l'aire classe 3, segons UNE-EN 12207, classificació a l'estanquitat a l'aigua classe 9A, segons UNE-EN 12208, i classificació a la resistència a la força del vent classe C5, segons UNE-EN 12210, sense bastiment de base sense persiana. Inclús patilles d'ancoratge per a la fixació de la fusteria, segellador adhesiu i silicona neutra per a segellat perimetral dels junts exterior i interior, entre la fusteria i l'obra.</t>
  </si>
  <si>
    <t>Uts.</t>
  </si>
  <si>
    <t>Llargada</t>
  </si>
  <si>
    <t>Amplada</t>
  </si>
  <si>
    <t>Alçada</t>
  </si>
  <si>
    <t>Parcial</t>
  </si>
  <si>
    <t>Subtotal</t>
  </si>
  <si>
    <t>Finestra F01</t>
  </si>
  <si>
    <t>mt24gen040tgc</t>
  </si>
  <si>
    <t>Material</t>
  </si>
  <si>
    <t>U</t>
  </si>
  <si>
    <t>Finestra de PVC, dues fulles corredisses, dimensions 2500x1200 mm, composta de marc, fulla i rivets, acabat foliat en les dues cares, color a escollir, perfils de 80 mm d'amplada, soldats a biaix, que incorporen tres càmeres interiors, tant en la secció de la fulla com en la del marc, per a millora de l'aïllament tèrmic; galze amb pendent del 5% per facilitar el desguàs; amb reforços interiors, junts d'estanquitat d'EPDM, maneta i ferraments; transmitància tèrmica del marc: Uh,m = 2,3 W/(m²K); gruix màxim de l'envidriament: 28 mm, amb classificació a la permeabilitat a l'aire classe 3, segons UNE-EN 12207, classificació a l'estanquitat a l'aigua classe 9A, segons UNE-EN 12208, i classificació a la resistència a la força del vent classe C5, segons UNE-EN 12210, segons UNE-EN 14351-1.</t>
  </si>
  <si>
    <t>mt22www010a</t>
  </si>
  <si>
    <t>Material</t>
  </si>
  <si>
    <t>U</t>
  </si>
  <si>
    <t>Cartutx de 290 ml de segellador adhesiu monocomponent, neutre, superelàstic, a base de polímer MS, color blanc, amb resistència a la intempèrie i als raigs UV i elongació fins a ruptura 750%.</t>
  </si>
  <si>
    <t>mt22www050a</t>
  </si>
  <si>
    <t>Material</t>
  </si>
  <si>
    <t>U</t>
  </si>
  <si>
    <t>Cartutx de 300 ml de silicona neutra oxímica, d'elasticitat permanent i enduriment ràpid, color blanc, rang de temperatura de treball de -60 a 150°C, amb resistència als rajos UV, duresa Shore A aproximada de 22, segons UNE-EN ISO 868 i elongació a ruptura &gt;= 800%, segons UNE-EN ISO 8339.</t>
  </si>
  <si>
    <t>mo018</t>
  </si>
  <si>
    <t>Mà d'obra</t>
  </si>
  <si>
    <t>h</t>
  </si>
  <si>
    <t>Oficial 1ª serraller.</t>
  </si>
  <si>
    <t>mo059</t>
  </si>
  <si>
    <t>Mà d'obra</t>
  </si>
  <si>
    <t>h</t>
  </si>
  <si>
    <t>Ajudant serraller.</t>
  </si>
  <si>
    <t>%</t>
  </si>
  <si>
    <t>%</t>
  </si>
  <si>
    <t>Costes directos complementarios</t>
  </si>
  <si>
    <t>LCP060</t>
  </si>
  <si>
    <t>LCP</t>
  </si>
  <si>
    <t>LC</t>
  </si>
  <si>
    <t>LE</t>
  </si>
  <si>
    <t>Capítol</t>
  </si>
  <si>
    <t>Portes d'entrada</t>
  </si>
  <si>
    <t>LEL</t>
  </si>
  <si>
    <t>Capítol</t>
  </si>
  <si>
    <t>D'alumini</t>
  </si>
  <si>
    <t>LEL010</t>
  </si>
  <si>
    <t>Partida</t>
  </si>
  <si>
    <t>U</t>
  </si>
  <si>
    <t>Porta d'entrada d'alumini termolacat en pols a 210°C, bloc de seguretat, de fulla batent de 90x215 cm. Composta de: fulla de 50 mm de gruix total, construïda amb dues xapes d'alumini de 1,2 mm de gruix, amb ànima de fusta blindada amb xapa de ferro acerat d'1 mm i massís especial en tot el perímetre de la fulla i ferraments, estampació amb embotiment profund en doble relleu a dues cares, acabat en color gris antracita; marcs especials d'extrusió d'alumini reforçat de 1,6 mm de gruix, d'igual terminació que les fulles, amb rivet perimètric.</t>
  </si>
  <si>
    <t>Uts.</t>
  </si>
  <si>
    <t>Llargada</t>
  </si>
  <si>
    <t>Amplada</t>
  </si>
  <si>
    <t>Alçada</t>
  </si>
  <si>
    <t>Parcial</t>
  </si>
  <si>
    <t>Subtotal</t>
  </si>
  <si>
    <t>Porta exterior PE01</t>
  </si>
  <si>
    <t>mt25paa010dc</t>
  </si>
  <si>
    <t>Material</t>
  </si>
  <si>
    <t>U</t>
  </si>
  <si>
    <t>Porta d'entrada d'alumini termolacat, block de seguretat, 90x210 cm, acabat en color blanc RAL 9010 amb estampació a dues cares, pany amb un punt de tancament, i accessoris.</t>
  </si>
  <si>
    <t>mt26pec015c</t>
  </si>
  <si>
    <t>Material</t>
  </si>
  <si>
    <t>U</t>
  </si>
  <si>
    <t>Bastiment de base d'acer galvanitzat, per a porta d'entrada d'alumini d'una fulla, amb garres d'ancoratge a obra.</t>
  </si>
  <si>
    <t>mt13blw110a</t>
  </si>
  <si>
    <t>Material</t>
  </si>
  <si>
    <t>U</t>
  </si>
  <si>
    <t>Aerosol de 750 cm³ d'escuma de poliuretà, de 22,5 kg/m³ de densitat, 140% d'expansió, 18 N/cm² de resistència a tracció i 20 N/cm² de resistència a flexió, conductivitat tèrmica 0,04 W/(mK), estable de -40°C a 100°C; per a aplicar amb pistola; segons UNE-EN 13165.</t>
  </si>
  <si>
    <t>mt15sja100</t>
  </si>
  <si>
    <t>Material</t>
  </si>
  <si>
    <t>U</t>
  </si>
  <si>
    <t>Cartutx de massilla de silicona neutra.</t>
  </si>
  <si>
    <t>mo020</t>
  </si>
  <si>
    <t>Mà d'obra</t>
  </si>
  <si>
    <t>h</t>
  </si>
  <si>
    <t>Oficial 1ª construcció.</t>
  </si>
  <si>
    <t>mo113</t>
  </si>
  <si>
    <t>Mà d'obra</t>
  </si>
  <si>
    <t>h</t>
  </si>
  <si>
    <t>Peó ordinari construcció.</t>
  </si>
  <si>
    <t>mo018</t>
  </si>
  <si>
    <t>Mà d'obra</t>
  </si>
  <si>
    <t>h</t>
  </si>
  <si>
    <t>Oficial 1ª serraller.</t>
  </si>
  <si>
    <t>mo059</t>
  </si>
  <si>
    <t>Mà d'obra</t>
  </si>
  <si>
    <t>h</t>
  </si>
  <si>
    <t>Ajudant serraller.</t>
  </si>
  <si>
    <t>%</t>
  </si>
  <si>
    <t>%</t>
  </si>
  <si>
    <t>Costes directos complementarios</t>
  </si>
  <si>
    <t>LEL010</t>
  </si>
  <si>
    <t>LEL</t>
  </si>
  <si>
    <t>LE</t>
  </si>
  <si>
    <t>LG</t>
  </si>
  <si>
    <t>Capítol</t>
  </si>
  <si>
    <t>Portes de garatge</t>
  </si>
  <si>
    <t>LGL</t>
  </si>
  <si>
    <t>Capítol</t>
  </si>
  <si>
    <t>D'alumini</t>
  </si>
  <si>
    <t>LGL040</t>
  </si>
  <si>
    <t>Partida</t>
  </si>
  <si>
    <t>U</t>
  </si>
  <si>
    <t>Porta tipus seccional, formada per lamel·les de xapa llisa d'alumini extrusionat, 600x300 cm, amb acabat prelacat de color gris antracita, amb obertura automàtica. Inclús material de connexionat elèctric i equip de motorització.</t>
  </si>
  <si>
    <t>Uts.</t>
  </si>
  <si>
    <t>Llargada</t>
  </si>
  <si>
    <t>Amplada</t>
  </si>
  <si>
    <t>Alçada</t>
  </si>
  <si>
    <t>Parcial</t>
  </si>
  <si>
    <t>Subtotal</t>
  </si>
  <si>
    <t>Porta exterior PE02</t>
  </si>
  <si>
    <t>mt26pge010ax</t>
  </si>
  <si>
    <t>Material</t>
  </si>
  <si>
    <t>U</t>
  </si>
  <si>
    <t>Porta enrotllable per a garatge, formada per lamel·les de xapa llisa d'alumini extrusionat, 400x250 cm, amb acabat prelacat de color blanc, caixa recollidora folrada, torn, motlles de torsió, politges, guies, accessoris i pany central amb clau de seguretat. Segons UNE-EN 13241-1.</t>
  </si>
  <si>
    <t>mt26egm010cb</t>
  </si>
  <si>
    <t>Material</t>
  </si>
  <si>
    <t>U</t>
  </si>
  <si>
    <t>Equip de motorització per obertura i tancament automàtic, per a porta de garatge enrotllable de més de 160 kg de pes.</t>
  </si>
  <si>
    <t>mt26egm012</t>
  </si>
  <si>
    <t>Material</t>
  </si>
  <si>
    <t>U</t>
  </si>
  <si>
    <t>Accessoris (pany, polsador, emissor, receptor i fotocèl·lula) per automatització de porta de garatge.</t>
  </si>
  <si>
    <t>mo020</t>
  </si>
  <si>
    <t>Mà d'obra</t>
  </si>
  <si>
    <t>h</t>
  </si>
  <si>
    <t>Oficial 1ª construcció.</t>
  </si>
  <si>
    <t>mo113</t>
  </si>
  <si>
    <t>Mà d'obra</t>
  </si>
  <si>
    <t>h</t>
  </si>
  <si>
    <t>Peó ordinari construcció.</t>
  </si>
  <si>
    <t>mo018</t>
  </si>
  <si>
    <t>Mà d'obra</t>
  </si>
  <si>
    <t>h</t>
  </si>
  <si>
    <t>Oficial 1ª serraller.</t>
  </si>
  <si>
    <t>mo059</t>
  </si>
  <si>
    <t>Mà d'obra</t>
  </si>
  <si>
    <t>h</t>
  </si>
  <si>
    <t>Ajudant serraller.</t>
  </si>
  <si>
    <t>mo003</t>
  </si>
  <si>
    <t>Mà d'obra</t>
  </si>
  <si>
    <t>h</t>
  </si>
  <si>
    <t>Oficial 1ª electricista.</t>
  </si>
  <si>
    <t>%</t>
  </si>
  <si>
    <t>%</t>
  </si>
  <si>
    <t>Costes directos complementarios</t>
  </si>
  <si>
    <t>LGL040</t>
  </si>
  <si>
    <t>LGL</t>
  </si>
  <si>
    <t>LG</t>
  </si>
  <si>
    <t>LV</t>
  </si>
  <si>
    <t>Capítol</t>
  </si>
  <si>
    <t>Vidres</t>
  </si>
  <si>
    <t>LVC</t>
  </si>
  <si>
    <t>Capítol</t>
  </si>
  <si>
    <t>Doble envidriament</t>
  </si>
  <si>
    <t>LVC010</t>
  </si>
  <si>
    <t>Partida</t>
  </si>
  <si>
    <t>m²</t>
  </si>
  <si>
    <t>Doble envidriament estàndard, 6/12/6, conjunt format per vidre exterior Float incolor de 6 mm, cambra d'aire deshidratada amb perfil separador d'alumini i doble segellat perimetral, de 12 mm, i vidre interior Float incolor de 6 mm d'espessor; 24 mm de gruix total, fixat sobre fusteria amb sola mitjançant falques de recolzament perimetrals i laterals, segellat en fred amb silicona sintètica incolora, compatible amb el material suport.</t>
  </si>
  <si>
    <t>Uts.</t>
  </si>
  <si>
    <t>Llargada</t>
  </si>
  <si>
    <t>Amplada</t>
  </si>
  <si>
    <t>Alçada</t>
  </si>
  <si>
    <t>Parcial</t>
  </si>
  <si>
    <t>Subtotal</t>
  </si>
  <si>
    <t>Finestra F01</t>
  </si>
  <si>
    <t>mt21veg011aesca</t>
  </si>
  <si>
    <t>Material</t>
  </si>
  <si>
    <t>m²</t>
  </si>
  <si>
    <t>Doble envidriament estàndard, 6/12/6, conjunt format per vidre exterior Float incolor de 6 mm, cambra d'aire deshidratada amb perfil separador d'alumini i doble segellat perimetral, de 12 mm, i vidre interior Float incolor de 6 mm d'espessor; 24 mm de gruix total.</t>
  </si>
  <si>
    <t>mt21vva015a</t>
  </si>
  <si>
    <t>Material</t>
  </si>
  <si>
    <t>U</t>
  </si>
  <si>
    <t>Cartutx de 310 ml de silicona neutra, incolora, duresa Shore A aproximada de 23, segons UNE-EN ISO 868 i recuperació elàstica &gt;=80%, segons UNE-EN ISO 7389.</t>
  </si>
  <si>
    <t>mt21vva021</t>
  </si>
  <si>
    <t>Material</t>
  </si>
  <si>
    <t>U</t>
  </si>
  <si>
    <t>Material auxiliar per la col·locació de vidres.</t>
  </si>
  <si>
    <t>mo055</t>
  </si>
  <si>
    <t>Mà d'obra</t>
  </si>
  <si>
    <t>h</t>
  </si>
  <si>
    <t>Oficial 1ª vidrier.</t>
  </si>
  <si>
    <t>mo110</t>
  </si>
  <si>
    <t>Mà d'obra</t>
  </si>
  <si>
    <t>h</t>
  </si>
  <si>
    <t>Ajudant vidrier.</t>
  </si>
  <si>
    <t>%</t>
  </si>
  <si>
    <t>%</t>
  </si>
  <si>
    <t>Costes directos complementarios</t>
  </si>
  <si>
    <t>LVC010</t>
  </si>
  <si>
    <t>LVC</t>
  </si>
  <si>
    <t>LV</t>
  </si>
  <si>
    <t>L</t>
  </si>
  <si>
    <t>H</t>
  </si>
  <si>
    <t>Capítol</t>
  </si>
  <si>
    <t>Acabaments i ajudes</t>
  </si>
  <si>
    <t>HR</t>
  </si>
  <si>
    <t>Capítol</t>
  </si>
  <si>
    <t>Acabats de façana</t>
  </si>
  <si>
    <t>HRF</t>
  </si>
  <si>
    <t>Capítol</t>
  </si>
  <si>
    <t>Prefabricats de formigó</t>
  </si>
  <si>
    <t>HRF070</t>
  </si>
  <si>
    <t>Partida</t>
  </si>
  <si>
    <t>m</t>
  </si>
  <si>
    <t>Escopidor prefabricat de formigó de color gris, en peces de 500x250x50 mm, amb goteró i ancoratge metàl·lic d'acer inoxidable en la seva cara inferior, encastat en els brancals; rebut amb morter de ciment, industrial, amb additiu hidròfug, M-10, sobre el qual s'introdueixen els ancoratges metàl·lics; i rejuntat entre peces i de les unions amb els murs amb morter de juntes especial per a prefabricats de formigó. Inclús protector hidròfug en base aquosa, per a tractament superficial hidrofugant.</t>
  </si>
  <si>
    <t>Uts.</t>
  </si>
  <si>
    <t>Llargada</t>
  </si>
  <si>
    <t>Amplada</t>
  </si>
  <si>
    <t>Alçada</t>
  </si>
  <si>
    <t>Parcial</t>
  </si>
  <si>
    <t>Subtotal</t>
  </si>
  <si>
    <t>Finestra F01</t>
  </si>
  <si>
    <t>mt08aaa010a</t>
  </si>
  <si>
    <t>Material</t>
  </si>
  <si>
    <t>m³</t>
  </si>
  <si>
    <t>Aigua.</t>
  </si>
  <si>
    <t>mt09mif010ka</t>
  </si>
  <si>
    <t>Material</t>
  </si>
  <si>
    <t>t</t>
  </si>
  <si>
    <t>Morter industrial per a obra de paleta, de ciment, color gris, amb additiu hidròfug, categoria M-10 (resistència a compressió 10 N/mm²), subministrat en sacs, segons UNE-EN 998-2.</t>
  </si>
  <si>
    <t>mt20vhp010a</t>
  </si>
  <si>
    <t>Material</t>
  </si>
  <si>
    <t>m</t>
  </si>
  <si>
    <t>Escopidor prefabricat de formigó de color gris, en peces de 500x250x50 mm, amb goteró i ancoratge metàl·lic d'acer inoxidable en la seva cara inferior.</t>
  </si>
  <si>
    <t>mt09mcr235</t>
  </si>
  <si>
    <t>Material</t>
  </si>
  <si>
    <t>kg</t>
  </si>
  <si>
    <t>Morter de juntes per prefabricats de formigó i pedra artificial, compost de ciment, àrids, pigments i additius especials.</t>
  </si>
  <si>
    <t>mt28pcs010a</t>
  </si>
  <si>
    <t>Material</t>
  </si>
  <si>
    <t>l</t>
  </si>
  <si>
    <t>Protector hidròfug en base aquosa, incolor, autonetejable, repel·lent de l'aigua i la brutícia, per a tractament superficial hidrofugant, per a aplicar amb brotxa sobre superfícies de pedra natural o pedra artificial.</t>
  </si>
  <si>
    <t>mo020</t>
  </si>
  <si>
    <t>Mà d'obra</t>
  </si>
  <si>
    <t>h</t>
  </si>
  <si>
    <t>Oficial 1ª construcció.</t>
  </si>
  <si>
    <t>mo113</t>
  </si>
  <si>
    <t>Mà d'obra</t>
  </si>
  <si>
    <t>h</t>
  </si>
  <si>
    <t>Peó ordinari construcció.</t>
  </si>
  <si>
    <t>%</t>
  </si>
  <si>
    <t>%</t>
  </si>
  <si>
    <t>Costes directos complementarios</t>
  </si>
  <si>
    <t>HRF070</t>
  </si>
  <si>
    <t>HRF</t>
  </si>
  <si>
    <t>HR</t>
  </si>
  <si>
    <t>H</t>
  </si>
  <si>
    <t>I</t>
  </si>
  <si>
    <t>Capítol</t>
  </si>
  <si>
    <t>Instal·lacions</t>
  </si>
  <si>
    <t>01</t>
  </si>
  <si>
    <t>Capítol</t>
  </si>
  <si>
    <t>INSTAL.LACIÓ ELÈCTRICA</t>
  </si>
  <si>
    <t>0101</t>
  </si>
  <si>
    <t>Capítol</t>
  </si>
  <si>
    <t>INSTAL.LACIÓ D'ENLLAÇ</t>
  </si>
  <si>
    <t>ARMPRFHORM</t>
  </si>
  <si>
    <t>Partida</t>
  </si>
  <si>
    <t>u</t>
  </si>
  <si>
    <t>Caixa de distribució urbana (CDU)</t>
  </si>
  <si>
    <t>BHARMFE</t>
  </si>
  <si>
    <t>Material</t>
  </si>
  <si>
    <t>Caixa de distribució urbana (CDU)</t>
  </si>
  <si>
    <t>A0D-0007</t>
  </si>
  <si>
    <t>Mà d'obra</t>
  </si>
  <si>
    <t>h</t>
  </si>
  <si>
    <t>Manobre</t>
  </si>
  <si>
    <t>A0F-000T</t>
  </si>
  <si>
    <t>Mà d'obra</t>
  </si>
  <si>
    <t>h</t>
  </si>
  <si>
    <t>Oficial 1a paleta</t>
  </si>
  <si>
    <t>ARMPRFHORM</t>
  </si>
  <si>
    <t>IEC010</t>
  </si>
  <si>
    <t>Partida</t>
  </si>
  <si>
    <t>U</t>
  </si>
  <si>
    <t>Caixa de protecció i mesura.</t>
  </si>
  <si>
    <t>mt35cgp010g</t>
  </si>
  <si>
    <t>Material</t>
  </si>
  <si>
    <t>U</t>
  </si>
  <si>
    <t>Caixa de protecció i mesura CPM2-S4, de fins a 63 A d'intensitat, per 1 comptador trifàsic, formada per una envoltant aïllant, precintable, autoventilada i amb espiell de material transparent resistent a l'acció dels raigs ultravioletes, per a instal·lació encastada. Inclús equip complert de mesura, borns de connexió, bases tallacircuits i fusibles per a protecció de la derivació individual. Normalitzada per l'empresa subministradora. Segons UNE-EN 60439-1, grau d'inflamabilitat segons s'indica en UNE-EN 60439-3, amb graus de protecció IP43 segons UNE 20324 i IK09 segons UNE-EN 50102.</t>
  </si>
  <si>
    <t>mt35cgp040h</t>
  </si>
  <si>
    <t>Material</t>
  </si>
  <si>
    <t>m</t>
  </si>
  <si>
    <t>Tub de PVC llis, sèrie B, de 160 mm de diàmetre exterior i 3,2 mm de gruix, segons UNE-EN 1329-1.</t>
  </si>
  <si>
    <t>mt35cgp040f</t>
  </si>
  <si>
    <t>Material</t>
  </si>
  <si>
    <t>m</t>
  </si>
  <si>
    <t>Tub de PVC llis, sèrie B, de 110 mm de diàmetre exterior i 3,2 mm de gruix, segons UNE-EN 1329-1.</t>
  </si>
  <si>
    <t>mt35www010</t>
  </si>
  <si>
    <t>Material</t>
  </si>
  <si>
    <t>U</t>
  </si>
  <si>
    <t>Material auxiliar per a instal·lacions elèctriques.</t>
  </si>
  <si>
    <t>mo020</t>
  </si>
  <si>
    <t>Mà d'obra</t>
  </si>
  <si>
    <t>h</t>
  </si>
  <si>
    <t>Oficial 1ª construcció.</t>
  </si>
  <si>
    <t>mo113</t>
  </si>
  <si>
    <t>Mà d'obra</t>
  </si>
  <si>
    <t>h</t>
  </si>
  <si>
    <t>Peó ordinari construcció.</t>
  </si>
  <si>
    <t>mo003</t>
  </si>
  <si>
    <t>Mà d'obra</t>
  </si>
  <si>
    <t>h</t>
  </si>
  <si>
    <t>Oficial 1ª electricista.</t>
  </si>
  <si>
    <t>mo102</t>
  </si>
  <si>
    <t>Mà d'obra</t>
  </si>
  <si>
    <t>h</t>
  </si>
  <si>
    <t>Ajudant electricista.</t>
  </si>
  <si>
    <t>%</t>
  </si>
  <si>
    <t>%</t>
  </si>
  <si>
    <t>Costes directos complementarios</t>
  </si>
  <si>
    <t>IEC010</t>
  </si>
  <si>
    <t>PG2N-EUGC</t>
  </si>
  <si>
    <t>Partida</t>
  </si>
  <si>
    <t>m</t>
  </si>
  <si>
    <t>Tub corbable corrugat PE,doble capa,DN=160mm,40J,450N,canal.sot.</t>
  </si>
  <si>
    <t>Uts.</t>
  </si>
  <si>
    <t>Llargada</t>
  </si>
  <si>
    <t>Amplada</t>
  </si>
  <si>
    <t>Alçada</t>
  </si>
  <si>
    <t>Parcial</t>
  </si>
  <si>
    <t>Subtotal</t>
  </si>
  <si>
    <t>CDU</t>
  </si>
  <si>
    <t>A01-FEPD</t>
  </si>
  <si>
    <t>Mà d'obra</t>
  </si>
  <si>
    <t>h</t>
  </si>
  <si>
    <t>Ajudant electricista</t>
  </si>
  <si>
    <t>A0F-000E</t>
  </si>
  <si>
    <t>Mà d'obra</t>
  </si>
  <si>
    <t>h</t>
  </si>
  <si>
    <t>Oficial 1a electricista</t>
  </si>
  <si>
    <t>BG2Q-1KTO</t>
  </si>
  <si>
    <t>Material</t>
  </si>
  <si>
    <t>m</t>
  </si>
  <si>
    <t>Tub corbable corrugat PE,doble capa,DN=160mm,40J,450N,p/canal.soterrada</t>
  </si>
  <si>
    <t>A%AUX001</t>
  </si>
  <si>
    <t>%</t>
  </si>
  <si>
    <t>Despeses auxiliars sobre la mà d'obra</t>
  </si>
  <si>
    <t>PG2N-EUGC</t>
  </si>
  <si>
    <t>IEO010</t>
  </si>
  <si>
    <t>Partida</t>
  </si>
  <si>
    <t>m</t>
  </si>
  <si>
    <t>Canalització.50</t>
  </si>
  <si>
    <t>Uts.</t>
  </si>
  <si>
    <t>Llargada</t>
  </si>
  <si>
    <t>Amplada</t>
  </si>
  <si>
    <t>Alçada</t>
  </si>
  <si>
    <t>Parcial</t>
  </si>
  <si>
    <t>Subtotal</t>
  </si>
  <si>
    <t>CPM-QUADRE</t>
  </si>
  <si>
    <t>mt36tie010cc</t>
  </si>
  <si>
    <t>Material</t>
  </si>
  <si>
    <t>m</t>
  </si>
  <si>
    <t>Tub de PVC, sèrie B, de 50 mm de diàmetre i 3 mm de gruix, amb extrem atrompetat, segons UNE-EN 1329-1, amb el preu incrementat el 10% en concepte d'accessoris i peces especials.</t>
  </si>
  <si>
    <t>mo003</t>
  </si>
  <si>
    <t>Mà d'obra</t>
  </si>
  <si>
    <t>h</t>
  </si>
  <si>
    <t>Oficial 1ª electricista.</t>
  </si>
  <si>
    <t>mo102</t>
  </si>
  <si>
    <t>Mà d'obra</t>
  </si>
  <si>
    <t>h</t>
  </si>
  <si>
    <t>Ajudant electricista.</t>
  </si>
  <si>
    <t>%</t>
  </si>
  <si>
    <t>%</t>
  </si>
  <si>
    <t>Costes directos complementarios</t>
  </si>
  <si>
    <t>IEO010</t>
  </si>
  <si>
    <t>IEH012c</t>
  </si>
  <si>
    <t>Partida</t>
  </si>
  <si>
    <t>m</t>
  </si>
  <si>
    <t>Cable elèctric de 0,6/1 kV de tensió nominal.5X10</t>
  </si>
  <si>
    <t>Uts.</t>
  </si>
  <si>
    <t>Llargada</t>
  </si>
  <si>
    <t>Amplada</t>
  </si>
  <si>
    <t>Alçada</t>
  </si>
  <si>
    <t>Parcial</t>
  </si>
  <si>
    <t>Subtotal</t>
  </si>
  <si>
    <t>CPM-QUADRE</t>
  </si>
  <si>
    <t>mt35cun010g2</t>
  </si>
  <si>
    <t>Material</t>
  </si>
  <si>
    <t>m</t>
  </si>
  <si>
    <t>Cable multipolar RZ1-K (AS), sent la seva tensió assignada de 0,6/1 kV, reacció al foc classe Cca-s1b,d1,a1 segons UNE-EN 50575, amb conductor de coure classe 5 (-K) de 5G10 mm² de secció, amb aïllament de polietilè reticulat (R) i coberta de compost termoplàstic a força de poliolefina lliure de halògens amb baixa emissió de fums i gasos corrosius (Z1). Segons UNE 21123-4.</t>
  </si>
  <si>
    <t>mo003</t>
  </si>
  <si>
    <t>Mà d'obra</t>
  </si>
  <si>
    <t>h</t>
  </si>
  <si>
    <t>Oficial 1ª electricista.</t>
  </si>
  <si>
    <t>mo102</t>
  </si>
  <si>
    <t>Mà d'obra</t>
  </si>
  <si>
    <t>h</t>
  </si>
  <si>
    <t>Ajudant electricista.</t>
  </si>
  <si>
    <t>%</t>
  </si>
  <si>
    <t>%</t>
  </si>
  <si>
    <t>Costes directos complementarios</t>
  </si>
  <si>
    <t>IEH012c</t>
  </si>
  <si>
    <t>0101</t>
  </si>
  <si>
    <t>0102</t>
  </si>
  <si>
    <t>Capítol</t>
  </si>
  <si>
    <t>QUADRES ELÈCTRICS</t>
  </si>
  <si>
    <t>IEX405</t>
  </si>
  <si>
    <t>Partida</t>
  </si>
  <si>
    <t>U</t>
  </si>
  <si>
    <t>Armari de distribució, modular.</t>
  </si>
  <si>
    <t>mt35amc950aa</t>
  </si>
  <si>
    <t>Material</t>
  </si>
  <si>
    <t>U</t>
  </si>
  <si>
    <t>Armari de distribució metàl·lic, de superfície, amb porta cega, grau de protecció IP40, aïllament classe II, de 650x650x250 mm, apilable amb uns altres armaris, amb sostre, terra i laterals desmuntables per lliscament (sense cargols), tancament de seguretat, escamotejable, amb clau, acabat amb pintura epoxi, microtexturitzat, segons UNE-EN 60670-1.</t>
  </si>
  <si>
    <t>mt35amc953b</t>
  </si>
  <si>
    <t>Material</t>
  </si>
  <si>
    <t>U</t>
  </si>
  <si>
    <t>Carril DIN per a fixació d'aparellatge modular en quadre elèctric, de 650 mm de longitud.</t>
  </si>
  <si>
    <t>mt35amc952c</t>
  </si>
  <si>
    <t>Material</t>
  </si>
  <si>
    <t>U</t>
  </si>
  <si>
    <t>Placa frontal encunyada per a elements modulars en carril DIN, per a armari de distribució, de 650x150 mm.</t>
  </si>
  <si>
    <t>mt35amc951d</t>
  </si>
  <si>
    <t>Material</t>
  </si>
  <si>
    <t>U</t>
  </si>
  <si>
    <t>Placa de muntatge interior per a armari de distribució metàl·lic de superfície, de 650x300 mm.</t>
  </si>
  <si>
    <t>mo003</t>
  </si>
  <si>
    <t>Mà d'obra</t>
  </si>
  <si>
    <t>h</t>
  </si>
  <si>
    <t>Oficial 1ª electricista.</t>
  </si>
  <si>
    <t>%</t>
  </si>
  <si>
    <t>%</t>
  </si>
  <si>
    <t>Costes directos complementarios</t>
  </si>
  <si>
    <t>IEX405</t>
  </si>
  <si>
    <t>IEX078</t>
  </si>
  <si>
    <t>Partida</t>
  </si>
  <si>
    <t>U</t>
  </si>
  <si>
    <t>Interruptor combinat magnetotèrmic-protectors contra sobretensions permanents i transitòries, modular.</t>
  </si>
  <si>
    <t>mt35amc316dd</t>
  </si>
  <si>
    <t>Material</t>
  </si>
  <si>
    <t>U</t>
  </si>
  <si>
    <t>Interruptor combinat magnetotèrmic-protectors contra sobretensions permanents i transitòries, de 15 mòduls, format per interruptor automàtic magnetotèrmic, tetrapolar (4P), intensitat nominal 25 A, poder de tall 6 kA, corba C, protector contra sobretensions permanents, protector contra sobretensions transitòries tipus 2 (ona 8/20 µs), nivell de protecció 2 kV, intensitat màxima de descàrrega 15 kA, i interruptor automàtic magnetotèrmic tetrapolar (4P), intensitat nominal 20 A, poder de tall 6 kA, per a la protecció de la línia de terra, de 270x80x77,8 mm, grau de protecció IP20, muntatge sobre carril DIN (35 mm) i fixació a carril mitjançant grapes, segons IEC 61643-11, UNE-EN 50550 i UNE-EN 60898-1.</t>
  </si>
  <si>
    <t>mo003</t>
  </si>
  <si>
    <t>Mà d'obra</t>
  </si>
  <si>
    <t>h</t>
  </si>
  <si>
    <t>Oficial 1ª electricista.</t>
  </si>
  <si>
    <t>%</t>
  </si>
  <si>
    <t>%</t>
  </si>
  <si>
    <t>Costes directos complementarios</t>
  </si>
  <si>
    <t>IEX078</t>
  </si>
  <si>
    <t>IEX050</t>
  </si>
  <si>
    <t>Partida</t>
  </si>
  <si>
    <t>U</t>
  </si>
  <si>
    <t>Interruptor automàtic magnetotèrmic, modular.10/2P</t>
  </si>
  <si>
    <t>mt35amc021bb</t>
  </si>
  <si>
    <t>Material</t>
  </si>
  <si>
    <t>U</t>
  </si>
  <si>
    <t>Interruptor automàtic magnetotèrmic, de 2 mòduls, bipolar (2P), intensitat nominal 10 A, poder de tall 6 kA, corba C, de 36x80x77,8 mm, grau de protecció IP20, muntatge sobre carril DIN (35 mm) i fixació a carril mitjançant grapes, segons UNE-EN 60898-1.</t>
  </si>
  <si>
    <t>mo003</t>
  </si>
  <si>
    <t>Mà d'obra</t>
  </si>
  <si>
    <t>h</t>
  </si>
  <si>
    <t>Oficial 1ª electricista.</t>
  </si>
  <si>
    <t>%</t>
  </si>
  <si>
    <t>%</t>
  </si>
  <si>
    <t>Costes directos complementarios</t>
  </si>
  <si>
    <t>IEX050</t>
  </si>
  <si>
    <t>IEX050b</t>
  </si>
  <si>
    <t>Partida</t>
  </si>
  <si>
    <t>U</t>
  </si>
  <si>
    <t>Interruptor automàtic magnetotèrmic, modular.16/2P</t>
  </si>
  <si>
    <t>mt35amc021cc</t>
  </si>
  <si>
    <t>Material</t>
  </si>
  <si>
    <t>U</t>
  </si>
  <si>
    <t>Interruptor automàtic magnetotèrmic, de 2 mòduls, bipolar (2P), intensitat nominal 16 A, poder de tall 6 kA, corba C, de 36x80x77,8 mm, grau de protecció IP20, muntatge sobre carril DIN (35 mm) i fixació a carril mitjançant grapes, segons UNE-EN 60898-1.</t>
  </si>
  <si>
    <t>mo003</t>
  </si>
  <si>
    <t>Mà d'obra</t>
  </si>
  <si>
    <t>h</t>
  </si>
  <si>
    <t>Oficial 1ª electricista.</t>
  </si>
  <si>
    <t>%</t>
  </si>
  <si>
    <t>%</t>
  </si>
  <si>
    <t>Costes directos complementarios</t>
  </si>
  <si>
    <t>IEX050b</t>
  </si>
  <si>
    <t>IEX050e</t>
  </si>
  <si>
    <t>Partida</t>
  </si>
  <si>
    <t>U</t>
  </si>
  <si>
    <t>Interruptor automàtic magnetotèrmic, modular.16A/4P</t>
  </si>
  <si>
    <t>mt35amc023cc</t>
  </si>
  <si>
    <t>Material</t>
  </si>
  <si>
    <t>U</t>
  </si>
  <si>
    <t>Interruptor automàtic magnetotèrmic, de 4 mòduls, tetrapolar (4P), intensitat nominal 16 A, poder de tall 6 kA, corba C, de 72x80x77,8 mm, grau de protecció IP20, muntatge sobre carril DIN (35 mm) i fixació a carril mitjançant grapes, segons UNE-EN 60898-1.</t>
  </si>
  <si>
    <t>mo003</t>
  </si>
  <si>
    <t>Mà d'obra</t>
  </si>
  <si>
    <t>h</t>
  </si>
  <si>
    <t>Oficial 1ª electricista.</t>
  </si>
  <si>
    <t>%</t>
  </si>
  <si>
    <t>%</t>
  </si>
  <si>
    <t>Costes directos complementarios</t>
  </si>
  <si>
    <t>IEX050e</t>
  </si>
  <si>
    <t>IEX050c</t>
  </si>
  <si>
    <t>Partida</t>
  </si>
  <si>
    <t>U</t>
  </si>
  <si>
    <t>Interruptor automàtic magnetotèrmic, modular.20A/4P</t>
  </si>
  <si>
    <t>mt35amc023dd</t>
  </si>
  <si>
    <t>Material</t>
  </si>
  <si>
    <t>U</t>
  </si>
  <si>
    <t>Interruptor automàtic magnetotèrmic, de 4 mòduls, tetrapolar (4P), intensitat nominal 20 A, poder de tall 6 kA, corba C, de 72x80x77,8 mm, grau de protecció IP20, muntatge sobre carril DIN (35 mm) i fixació a carril mitjançant grapes, segons UNE-EN 60898-1.</t>
  </si>
  <si>
    <t>mo003</t>
  </si>
  <si>
    <t>Mà d'obra</t>
  </si>
  <si>
    <t>h</t>
  </si>
  <si>
    <t>Oficial 1ª electricista.</t>
  </si>
  <si>
    <t>%</t>
  </si>
  <si>
    <t>%</t>
  </si>
  <si>
    <t>Costes directos complementarios</t>
  </si>
  <si>
    <t>IEX050c</t>
  </si>
  <si>
    <t>IEX060</t>
  </si>
  <si>
    <t>Partida</t>
  </si>
  <si>
    <t>U</t>
  </si>
  <si>
    <t>Interruptor diferencial modular.40A/30mA/2P</t>
  </si>
  <si>
    <t>mt35amc100ec</t>
  </si>
  <si>
    <t>Material</t>
  </si>
  <si>
    <t>U</t>
  </si>
  <si>
    <t>Interruptor diferencial instantani, de 2 mòduls, bipolar (2P), intensitat nominal 40 A, sensibilitat 30 mA, poder de tall 6 kA, classe AC, de 36x80x77,8 mm, grau de protecció IP20, muntatge sobre carril DIN (35 mm) i fixació a carril mitjançant grapes, segons UNE-EN 61008-1.</t>
  </si>
  <si>
    <t>mo003</t>
  </si>
  <si>
    <t>Mà d'obra</t>
  </si>
  <si>
    <t>h</t>
  </si>
  <si>
    <t>Oficial 1ª electricista.</t>
  </si>
  <si>
    <t>%</t>
  </si>
  <si>
    <t>%</t>
  </si>
  <si>
    <t>Costes directos complementarios</t>
  </si>
  <si>
    <t>IEX060</t>
  </si>
  <si>
    <t>IEX060d</t>
  </si>
  <si>
    <t>Partida</t>
  </si>
  <si>
    <t>U</t>
  </si>
  <si>
    <t>Interruptor diferencial modular.40A/300mA/4P</t>
  </si>
  <si>
    <t>mt35amc101ee</t>
  </si>
  <si>
    <t>Material</t>
  </si>
  <si>
    <t>U</t>
  </si>
  <si>
    <t>Interruptor diferencial instantani, de 4 mòduls, tetrapolar (4P), intensitat nominal 40 A, sensibilitat 300 mA, poder de tall 6 kA, classe AC, de 72x80x77,8 mm, grau de protecció IP20, muntatge sobre carril DIN (35 mm) i fixació a carril mitjançant grapes, segons UNE-EN 61008-1.</t>
  </si>
  <si>
    <t>mo003</t>
  </si>
  <si>
    <t>Mà d'obra</t>
  </si>
  <si>
    <t>h</t>
  </si>
  <si>
    <t>Oficial 1ª electricista.</t>
  </si>
  <si>
    <t>%</t>
  </si>
  <si>
    <t>%</t>
  </si>
  <si>
    <t>Costes directos complementarios</t>
  </si>
  <si>
    <t>IEX060d</t>
  </si>
  <si>
    <t>IEX100</t>
  </si>
  <si>
    <t>Partida</t>
  </si>
  <si>
    <t>U</t>
  </si>
  <si>
    <t>Teleruptor modular.</t>
  </si>
  <si>
    <t>mt35cgm032a</t>
  </si>
  <si>
    <t>Material</t>
  </si>
  <si>
    <t>U</t>
  </si>
  <si>
    <t>Teleruptor de 1 mòdul, bipolar (2P), de 16 A, inclús accessoris de muntatge, segons UNE-EN 60669-1 i UNE-EN 60669-2-2.</t>
  </si>
  <si>
    <t>mo003</t>
  </si>
  <si>
    <t>Mà d'obra</t>
  </si>
  <si>
    <t>h</t>
  </si>
  <si>
    <t>Oficial 1ª electricista.</t>
  </si>
  <si>
    <t>%</t>
  </si>
  <si>
    <t>%</t>
  </si>
  <si>
    <t>Costes directos complementarios</t>
  </si>
  <si>
    <t>IEX100</t>
  </si>
  <si>
    <t>IEX140</t>
  </si>
  <si>
    <t>Partida</t>
  </si>
  <si>
    <t>U</t>
  </si>
  <si>
    <t>Interruptor horari programable, modular.</t>
  </si>
  <si>
    <t>mt35cgm090a</t>
  </si>
  <si>
    <t>Material</t>
  </si>
  <si>
    <t>U</t>
  </si>
  <si>
    <t>Interruptor horari programable.</t>
  </si>
  <si>
    <t>mo003</t>
  </si>
  <si>
    <t>Mà d'obra</t>
  </si>
  <si>
    <t>h</t>
  </si>
  <si>
    <t>Oficial 1ª electricista.</t>
  </si>
  <si>
    <t>%</t>
  </si>
  <si>
    <t>%</t>
  </si>
  <si>
    <t>Costes directos complementarios</t>
  </si>
  <si>
    <t>IEX140</t>
  </si>
  <si>
    <t>0102</t>
  </si>
  <si>
    <t>0103</t>
  </si>
  <si>
    <t>Capítol</t>
  </si>
  <si>
    <t>CABLES</t>
  </si>
  <si>
    <t>IEH012d</t>
  </si>
  <si>
    <t>Partida</t>
  </si>
  <si>
    <t>m</t>
  </si>
  <si>
    <t>Cable elèctric de 0,6/1 kV de tensió nominal.3G1,5</t>
  </si>
  <si>
    <t>Uts.</t>
  </si>
  <si>
    <t>Llargada</t>
  </si>
  <si>
    <t>Amplada</t>
  </si>
  <si>
    <t>Alçada</t>
  </si>
  <si>
    <t>Parcial</t>
  </si>
  <si>
    <t>Subtotal</t>
  </si>
  <si>
    <t>A1</t>
  </si>
  <si>
    <t>A2</t>
  </si>
  <si>
    <t>A3</t>
  </si>
  <si>
    <t>A4</t>
  </si>
  <si>
    <t>A5</t>
  </si>
  <si>
    <t>A6</t>
  </si>
  <si>
    <t>A7</t>
  </si>
  <si>
    <t>E1</t>
  </si>
  <si>
    <t>E2</t>
  </si>
  <si>
    <t>INCENDIS</t>
  </si>
  <si>
    <t>ROBO</t>
  </si>
  <si>
    <t>mt35cun010y1</t>
  </si>
  <si>
    <t>Material</t>
  </si>
  <si>
    <t>m</t>
  </si>
  <si>
    <t>Cable multipolar RZ1-K (AS), sent la seva tensió assignada de 0,6/1 kV, reacció al foc classe Cca-s1b,d1,a1 segons UNE-EN 50575, amb conductor de coure classe 5 (-K) de 3G1,5 mm² de secció, amb aïllament de polietilè reticulat (R) i coberta de compost termoplàstic a força de poliolefina lliure de halògens amb baixa emissió de fums i gasos corrosius (Z1). Segons UNE 21123-4.</t>
  </si>
  <si>
    <t>mo003</t>
  </si>
  <si>
    <t>Mà d'obra</t>
  </si>
  <si>
    <t>h</t>
  </si>
  <si>
    <t>Oficial 1ª electricista.</t>
  </si>
  <si>
    <t>mo102</t>
  </si>
  <si>
    <t>Mà d'obra</t>
  </si>
  <si>
    <t>h</t>
  </si>
  <si>
    <t>Ajudant electricista.</t>
  </si>
  <si>
    <t>%</t>
  </si>
  <si>
    <t>%</t>
  </si>
  <si>
    <t>Costes directos complementarios</t>
  </si>
  <si>
    <t>IEH012d</t>
  </si>
  <si>
    <t>IEH012e</t>
  </si>
  <si>
    <t>Partida</t>
  </si>
  <si>
    <t>m</t>
  </si>
  <si>
    <t>Cable elèctric de 0,6/1 kV de tensió nominal.3G2,5</t>
  </si>
  <si>
    <t>Uts.</t>
  </si>
  <si>
    <t>Llargada</t>
  </si>
  <si>
    <t>Amplada</t>
  </si>
  <si>
    <t>Alçada</t>
  </si>
  <si>
    <t>Parcial</t>
  </si>
  <si>
    <t>Subtotal</t>
  </si>
  <si>
    <t>T1</t>
  </si>
  <si>
    <t>mt35cun010z1</t>
  </si>
  <si>
    <t>Material</t>
  </si>
  <si>
    <t>m</t>
  </si>
  <si>
    <t>Cable multipolar RZ1-K (AS), sent la seva tensió assignada de 0,6/1 kV, reacció al foc classe Cca-s1b,d1,a1 segons UNE-EN 50575, amb conductor de coure classe 5 (-K) de 3G2,5 mm² de secció, amb aïllament de polietilè reticulat (R) i coberta de compost termoplàstic a força de poliolefina lliure de halògens amb baixa emissió de fums i gasos corrosius (Z1). Segons UNE 21123-4.</t>
  </si>
  <si>
    <t>mo003</t>
  </si>
  <si>
    <t>Mà d'obra</t>
  </si>
  <si>
    <t>h</t>
  </si>
  <si>
    <t>Oficial 1ª electricista.</t>
  </si>
  <si>
    <t>mo102</t>
  </si>
  <si>
    <t>Mà d'obra</t>
  </si>
  <si>
    <t>h</t>
  </si>
  <si>
    <t>Ajudant electricista.</t>
  </si>
  <si>
    <t>%</t>
  </si>
  <si>
    <t>%</t>
  </si>
  <si>
    <t>Costes directos complementarios</t>
  </si>
  <si>
    <t>IEH012e</t>
  </si>
  <si>
    <t>IEH012f</t>
  </si>
  <si>
    <t>Partida</t>
  </si>
  <si>
    <t>m</t>
  </si>
  <si>
    <t>Cable elèctric de 0,6/1 kV de tensió nominal.5G2,5</t>
  </si>
  <si>
    <t>Uts.</t>
  </si>
  <si>
    <t>Llargada</t>
  </si>
  <si>
    <t>Amplada</t>
  </si>
  <si>
    <t>Alçada</t>
  </si>
  <si>
    <t>Parcial</t>
  </si>
  <si>
    <t>Subtotal</t>
  </si>
  <si>
    <t>PORTA</t>
  </si>
  <si>
    <t>mt35cun010d2</t>
  </si>
  <si>
    <t>Material</t>
  </si>
  <si>
    <t>m</t>
  </si>
  <si>
    <t>Cable multipolar RZ1-K (AS), sent la seva tensió assignada de 0,6/1 kV, reacció al foc classe Cca-s1b,d1,a1 segons UNE-EN 50575, amb conductor de coure classe 5 (-K) de 5G2,5 mm² de secció, amb aïllament de polietilè reticulat (R) i coberta de compost termoplàstic a força de poliolefina lliure de halògens amb baixa emissió de fums i gasos corrosius (Z1). Segons UNE 21123-4.</t>
  </si>
  <si>
    <t>mo003</t>
  </si>
  <si>
    <t>Mà d'obra</t>
  </si>
  <si>
    <t>h</t>
  </si>
  <si>
    <t>Oficial 1ª electricista.</t>
  </si>
  <si>
    <t>mo102</t>
  </si>
  <si>
    <t>Mà d'obra</t>
  </si>
  <si>
    <t>h</t>
  </si>
  <si>
    <t>Ajudant electricista.</t>
  </si>
  <si>
    <t>%</t>
  </si>
  <si>
    <t>%</t>
  </si>
  <si>
    <t>Costes directos complementarios</t>
  </si>
  <si>
    <t>IEH012f</t>
  </si>
  <si>
    <t>IEH012g</t>
  </si>
  <si>
    <t>Partida</t>
  </si>
  <si>
    <t>m</t>
  </si>
  <si>
    <t>Cable elèctric de 0,6/1 kV de tensió nominal.5G6</t>
  </si>
  <si>
    <t>Uts.</t>
  </si>
  <si>
    <t>Llargada</t>
  </si>
  <si>
    <t>Amplada</t>
  </si>
  <si>
    <t>Alçada</t>
  </si>
  <si>
    <t>Parcial</t>
  </si>
  <si>
    <t>Subtotal</t>
  </si>
  <si>
    <t>T2</t>
  </si>
  <si>
    <t>T3</t>
  </si>
  <si>
    <t>mt35cun010f2</t>
  </si>
  <si>
    <t>Material</t>
  </si>
  <si>
    <t>m</t>
  </si>
  <si>
    <t>Cable multipolar RZ1-K (AS), sent la seva tensió assignada de 0,6/1 kV, reacció al foc classe Cca-s1b,d1,a1 segons UNE-EN 50575, amb conductor de coure classe 5 (-K) de 5G6 mm² de secció, amb aïllament de polietilè reticulat (R) i coberta de compost termoplàstic a força de poliolefina lliure de halògens amb baixa emissió de fums i gasos corrosius (Z1). Segons UNE 21123-4.</t>
  </si>
  <si>
    <t>mo003</t>
  </si>
  <si>
    <t>Mà d'obra</t>
  </si>
  <si>
    <t>h</t>
  </si>
  <si>
    <t>Oficial 1ª electricista.</t>
  </si>
  <si>
    <t>mo102</t>
  </si>
  <si>
    <t>Mà d'obra</t>
  </si>
  <si>
    <t>h</t>
  </si>
  <si>
    <t>Ajudant electricista.</t>
  </si>
  <si>
    <t>%</t>
  </si>
  <si>
    <t>%</t>
  </si>
  <si>
    <t>Costes directos complementarios</t>
  </si>
  <si>
    <t>IEH012g</t>
  </si>
  <si>
    <t>0103</t>
  </si>
  <si>
    <t>0104</t>
  </si>
  <si>
    <t>Capítol</t>
  </si>
  <si>
    <t>CANALITZACIONS</t>
  </si>
  <si>
    <t>IEO010e</t>
  </si>
  <si>
    <t>Partida</t>
  </si>
  <si>
    <t>m</t>
  </si>
  <si>
    <t>Canalització.35x200</t>
  </si>
  <si>
    <t>Uts.</t>
  </si>
  <si>
    <t>Llargada</t>
  </si>
  <si>
    <t>Amplada</t>
  </si>
  <si>
    <t>Alçada</t>
  </si>
  <si>
    <t>Parcial</t>
  </si>
  <si>
    <t>Subtotal</t>
  </si>
  <si>
    <t>mt35brp010c</t>
  </si>
  <si>
    <t>Material</t>
  </si>
  <si>
    <t>m</t>
  </si>
  <si>
    <t>Safata de reixeta de filferro d'acer zincat, de 35x200 mm, amb resistència al foc de 90 minuts a 1000°C E90 segons DIN 4102-12, resistència a l'impacte 20 joules, temperatura de treball -50°C fins 150°C, segons UNE-EN 61537, subministrada en trams de 3 m, per a suport i conducció de cables elèctrics, inclús elements de subjecció i accessoris.</t>
  </si>
  <si>
    <t>mo003</t>
  </si>
  <si>
    <t>Mà d'obra</t>
  </si>
  <si>
    <t>h</t>
  </si>
  <si>
    <t>Oficial 1ª electricista.</t>
  </si>
  <si>
    <t>mo102</t>
  </si>
  <si>
    <t>Mà d'obra</t>
  </si>
  <si>
    <t>h</t>
  </si>
  <si>
    <t>Ajudant electricista.</t>
  </si>
  <si>
    <t>%</t>
  </si>
  <si>
    <t>%</t>
  </si>
  <si>
    <t>Costes directos complementarios</t>
  </si>
  <si>
    <t>IEO010e</t>
  </si>
  <si>
    <t>IEO010b</t>
  </si>
  <si>
    <t>Partida</t>
  </si>
  <si>
    <t>m</t>
  </si>
  <si>
    <t>Canalització.16</t>
  </si>
  <si>
    <t>Uts.</t>
  </si>
  <si>
    <t>Llargada</t>
  </si>
  <si>
    <t>Amplada</t>
  </si>
  <si>
    <t>Alçada</t>
  </si>
  <si>
    <t>Parcial</t>
  </si>
  <si>
    <t>Subtotal</t>
  </si>
  <si>
    <t>CAMPANES</t>
  </si>
  <si>
    <t>PANTALLES</t>
  </si>
  <si>
    <t>POLSADOR</t>
  </si>
  <si>
    <t>EMERGENCIES</t>
  </si>
  <si>
    <t>INCENDIS</t>
  </si>
  <si>
    <t>ROBO</t>
  </si>
  <si>
    <t>mt35aia130h</t>
  </si>
  <si>
    <t>Material</t>
  </si>
  <si>
    <t>m</t>
  </si>
  <si>
    <t>Tub rígid de policarbonat, exempt d'halògens segons UNE-EN 50267-2-2, endollable, corbable en calent, de color gris, de 16 mm de diàmetre nominal, per a instal·lacions elèctriques en edificis públics i per a evitar emissions de fum i gasos àcids. Resistència a la compressió 1250 N, resistència a l'impacte 6 joules, temperatura de treball -5°C fins 90°C, amb grau de protecció IP547 segons UNE 20324, propietats elèctriques: aïllant, no propagador de la flama. Segons UNE-EN 61386-1 i UNE-EN 61386-22. Inclús abraçadores, elements de subjecció i accessoris (corbes, maneguets, tes, colzes i corbes flexibles).</t>
  </si>
  <si>
    <t>mo003</t>
  </si>
  <si>
    <t>Mà d'obra</t>
  </si>
  <si>
    <t>h</t>
  </si>
  <si>
    <t>Oficial 1ª electricista.</t>
  </si>
  <si>
    <t>mo102</t>
  </si>
  <si>
    <t>Mà d'obra</t>
  </si>
  <si>
    <t>h</t>
  </si>
  <si>
    <t>Ajudant electricista.</t>
  </si>
  <si>
    <t>%</t>
  </si>
  <si>
    <t>%</t>
  </si>
  <si>
    <t>Costes directos complementarios</t>
  </si>
  <si>
    <t>IEO010b</t>
  </si>
  <si>
    <t>IEO010c</t>
  </si>
  <si>
    <t>Partida</t>
  </si>
  <si>
    <t>m</t>
  </si>
  <si>
    <t>Canalització.20</t>
  </si>
  <si>
    <t>Uts.</t>
  </si>
  <si>
    <t>Llargada</t>
  </si>
  <si>
    <t>Amplada</t>
  </si>
  <si>
    <t>Alçada</t>
  </si>
  <si>
    <t>Parcial</t>
  </si>
  <si>
    <t>Subtotal</t>
  </si>
  <si>
    <t>ENDOLLS</t>
  </si>
  <si>
    <t>mt35aia130i</t>
  </si>
  <si>
    <t>Material</t>
  </si>
  <si>
    <t>m</t>
  </si>
  <si>
    <t>Tub rígid de policarbonat, exempt d'halògens segons UNE-EN 50267-2-2, endollable, corbable en calent, de color gris, de 20 mm de diàmetre nominal, per a instal·lacions elèctriques en edificis públics i per a evitar emissions de fum i gasos àcids. Resistència a la compressió 1250 N, resistència a l'impacte 6 joules, temperatura de treball -5°C fins 90°C, amb grau de protecció IP547 segons UNE 20324, propietats elèctriques: aïllant, no propagador de la flama. Segons UNE-EN 61386-1 i UNE-EN 61386-22. Inclús abraçadores, elements de subjecció i accessoris (corbes, maneguets, tes, colzes i corbes flexibles).</t>
  </si>
  <si>
    <t>mo003</t>
  </si>
  <si>
    <t>Mà d'obra</t>
  </si>
  <si>
    <t>h</t>
  </si>
  <si>
    <t>Oficial 1ª electricista.</t>
  </si>
  <si>
    <t>mo102</t>
  </si>
  <si>
    <t>Mà d'obra</t>
  </si>
  <si>
    <t>h</t>
  </si>
  <si>
    <t>Ajudant electricista.</t>
  </si>
  <si>
    <t>%</t>
  </si>
  <si>
    <t>%</t>
  </si>
  <si>
    <t>Costes directos complementarios</t>
  </si>
  <si>
    <t>IEO010c</t>
  </si>
  <si>
    <t>IEO010d</t>
  </si>
  <si>
    <t>Partida</t>
  </si>
  <si>
    <t>m</t>
  </si>
  <si>
    <t>Canalització.25</t>
  </si>
  <si>
    <t>Uts.</t>
  </si>
  <si>
    <t>Llargada</t>
  </si>
  <si>
    <t>Amplada</t>
  </si>
  <si>
    <t>Alçada</t>
  </si>
  <si>
    <t>Parcial</t>
  </si>
  <si>
    <t>Subtotal</t>
  </si>
  <si>
    <t>CAIXES INDUSTRIALS</t>
  </si>
  <si>
    <t>mt35aia130j</t>
  </si>
  <si>
    <t>Material</t>
  </si>
  <si>
    <t>m</t>
  </si>
  <si>
    <t>Tub rígid de policarbonat, exempt d'halògens segons UNE-EN 50267-2-2, endollable, corbable en calent, de color gris, de 25 mm de diàmetre nominal, per a instal·lacions elèctriques en edificis públics i per a evitar emissions de fum i gasos àcids. Resistència a la compressió 1250 N, resistència a l'impacte 6 joules, temperatura de treball -5°C fins 90°C, amb grau de protecció IP547 segons UNE 20324, propietats elèctriques: aïllant, no propagador de la flama. Segons UNE-EN 61386-1 i UNE-EN 61386-22. Inclús abraçadores, elements de subjecció i accessoris (corbes, maneguets, tes, colzes i corbes flexibles).</t>
  </si>
  <si>
    <t>mo003</t>
  </si>
  <si>
    <t>Mà d'obra</t>
  </si>
  <si>
    <t>h</t>
  </si>
  <si>
    <t>Oficial 1ª electricista.</t>
  </si>
  <si>
    <t>mo102</t>
  </si>
  <si>
    <t>Mà d'obra</t>
  </si>
  <si>
    <t>h</t>
  </si>
  <si>
    <t>Ajudant electricista.</t>
  </si>
  <si>
    <t>%</t>
  </si>
  <si>
    <t>%</t>
  </si>
  <si>
    <t>Costes directos complementarios</t>
  </si>
  <si>
    <t>IEO010d</t>
  </si>
  <si>
    <t>0104</t>
  </si>
  <si>
    <t>0105</t>
  </si>
  <si>
    <t>Capítol</t>
  </si>
  <si>
    <t>MECANISMES</t>
  </si>
  <si>
    <t>IEM056</t>
  </si>
  <si>
    <t>Partida</t>
  </si>
  <si>
    <t>U</t>
  </si>
  <si>
    <t>Polsador de superfície, estanc.</t>
  </si>
  <si>
    <t>mt33gbg407a</t>
  </si>
  <si>
    <t>Material</t>
  </si>
  <si>
    <t>U</t>
  </si>
  <si>
    <t>Polsador estanc, amb grau de protecció IP55 segons IEC 60439, monobloc, de superfície, gamma bàsica, intensitat assignada 10 AX, tensió assignada 250 V, amb un contacte NO, amb tecla simple i caixa, de color gris, segons EN 60669.</t>
  </si>
  <si>
    <t>mo003</t>
  </si>
  <si>
    <t>Mà d'obra</t>
  </si>
  <si>
    <t>h</t>
  </si>
  <si>
    <t>Oficial 1ª electricista.</t>
  </si>
  <si>
    <t>%</t>
  </si>
  <si>
    <t>%</t>
  </si>
  <si>
    <t>Costes directos complementarios</t>
  </si>
  <si>
    <t>IEM056</t>
  </si>
  <si>
    <t>IEM066</t>
  </si>
  <si>
    <t>Partida</t>
  </si>
  <si>
    <t>U</t>
  </si>
  <si>
    <t>Base de presa de corrent estanca, de superfície.</t>
  </si>
  <si>
    <t>mt33gbg517a</t>
  </si>
  <si>
    <t>Material</t>
  </si>
  <si>
    <t>U</t>
  </si>
  <si>
    <t>Base de presa de corrent amb contacte de terra (2P+T), estanca, tipus Schuko, amb grau de protecció IP55 segons IEC 60439, monobloc, de superfície, gamma bàsica, intensitat assignada 16 A, tensió assignada 250 V, amb tapa i caixa amb tapa, de color gris.</t>
  </si>
  <si>
    <t>mo003</t>
  </si>
  <si>
    <t>Mà d'obra</t>
  </si>
  <si>
    <t>h</t>
  </si>
  <si>
    <t>Oficial 1ª electricista.</t>
  </si>
  <si>
    <t>%</t>
  </si>
  <si>
    <t>%</t>
  </si>
  <si>
    <t>Costes directos complementarios</t>
  </si>
  <si>
    <t>IEM066</t>
  </si>
  <si>
    <t>PG1B-DGPQ</t>
  </si>
  <si>
    <t>Partida</t>
  </si>
  <si>
    <t>u</t>
  </si>
  <si>
    <t>Caixa per a endolls industrials</t>
  </si>
  <si>
    <t>A01-FEPD</t>
  </si>
  <si>
    <t>Mà d'obra</t>
  </si>
  <si>
    <t>h</t>
  </si>
  <si>
    <t>Ajudant electricista</t>
  </si>
  <si>
    <t>A0F-000E</t>
  </si>
  <si>
    <t>Mà d'obra</t>
  </si>
  <si>
    <t>h</t>
  </si>
  <si>
    <t>Oficial 1a electricista</t>
  </si>
  <si>
    <t>BG19-0BZQ</t>
  </si>
  <si>
    <t>Material</t>
  </si>
  <si>
    <t>u</t>
  </si>
  <si>
    <t>Caixa p/quadre distrib.,plàst.,dues fil.x12mòduls,p/munt.superf.</t>
  </si>
  <si>
    <t>BGW2-093L</t>
  </si>
  <si>
    <t>Material</t>
  </si>
  <si>
    <t>u</t>
  </si>
  <si>
    <t>P.p.accessoris caixa p/quadre distrib.</t>
  </si>
  <si>
    <t>PG6N-PU61</t>
  </si>
  <si>
    <t>Auxiliar</t>
  </si>
  <si>
    <t>u</t>
  </si>
  <si>
    <t>Presa corrent indust.semiencastat,3P+T,16A 200-250 V,IP-44,col.</t>
  </si>
  <si>
    <t>A01-FEPD</t>
  </si>
  <si>
    <t>Mà d'obra</t>
  </si>
  <si>
    <t>h</t>
  </si>
  <si>
    <t>Ajudant electricista</t>
  </si>
  <si>
    <t>A0F-000E</t>
  </si>
  <si>
    <t>Mà d'obra</t>
  </si>
  <si>
    <t>h</t>
  </si>
  <si>
    <t>Oficial 1a electricista</t>
  </si>
  <si>
    <t>BG6H-1BY8</t>
  </si>
  <si>
    <t>Material</t>
  </si>
  <si>
    <t>u</t>
  </si>
  <si>
    <t>Presa corrent indust.semiencastat,3P+T,16A 200-250 V,IP-44</t>
  </si>
  <si>
    <t>A%AUX001</t>
  </si>
  <si>
    <t>%</t>
  </si>
  <si>
    <t>Despeses auxiliars sobre la mà d'obra</t>
  </si>
  <si>
    <t>PG6N-PU61</t>
  </si>
  <si>
    <t>PG6N-PU5R</t>
  </si>
  <si>
    <t>Auxiliar</t>
  </si>
  <si>
    <t>u</t>
  </si>
  <si>
    <t>Presa corrent indust.semiencastat,2P+T,16A 200-250 V,IP-44,col.</t>
  </si>
  <si>
    <t>A01-FEPD</t>
  </si>
  <si>
    <t>Mà d'obra</t>
  </si>
  <si>
    <t>h</t>
  </si>
  <si>
    <t>Ajudant electricista</t>
  </si>
  <si>
    <t>A0F-000E</t>
  </si>
  <si>
    <t>Mà d'obra</t>
  </si>
  <si>
    <t>h</t>
  </si>
  <si>
    <t>Oficial 1a electricista</t>
  </si>
  <si>
    <t>BG6H-1BX9</t>
  </si>
  <si>
    <t>Material</t>
  </si>
  <si>
    <t>u</t>
  </si>
  <si>
    <t>Presa corrent indust.semiencastat,2P+T,16A 200-250 V,IP-44</t>
  </si>
  <si>
    <t>A%AUX001</t>
  </si>
  <si>
    <t>%</t>
  </si>
  <si>
    <t>Despeses auxiliars sobre la mà d'obra</t>
  </si>
  <si>
    <t>PG6N-PU5R</t>
  </si>
  <si>
    <t>IEX050b</t>
  </si>
  <si>
    <t>Auxiliar</t>
  </si>
  <si>
    <t>U</t>
  </si>
  <si>
    <t>Interruptor automàtic magnetotèrmic, modular.16/2P</t>
  </si>
  <si>
    <t>mt35amc021cc</t>
  </si>
  <si>
    <t>Material</t>
  </si>
  <si>
    <t>U</t>
  </si>
  <si>
    <t>Interruptor automàtic magnetotèrmic, de 2 mòduls, bipolar (2P), intensitat nominal 16 A, poder de tall 6 kA, corba C, de 36x80x77,8 mm, grau de protecció IP20, muntatge sobre carril DIN (35 mm) i fixació a carril mitjançant grapes, segons UNE-EN 60898-1.</t>
  </si>
  <si>
    <t>mo003</t>
  </si>
  <si>
    <t>Mà d'obra</t>
  </si>
  <si>
    <t>h</t>
  </si>
  <si>
    <t>Oficial 1ª electricista.</t>
  </si>
  <si>
    <t>%</t>
  </si>
  <si>
    <t>%</t>
  </si>
  <si>
    <t>Costes directos complementarios</t>
  </si>
  <si>
    <t>IEX050b</t>
  </si>
  <si>
    <t>IEX050e</t>
  </si>
  <si>
    <t>Auxiliar</t>
  </si>
  <si>
    <t>U</t>
  </si>
  <si>
    <t>Interruptor automàtic magnetotèrmic, modular.16A/4P</t>
  </si>
  <si>
    <t>mt35amc023cc</t>
  </si>
  <si>
    <t>Material</t>
  </si>
  <si>
    <t>U</t>
  </si>
  <si>
    <t>Interruptor automàtic magnetotèrmic, de 4 mòduls, tetrapolar (4P), intensitat nominal 16 A, poder de tall 6 kA, corba C, de 72x80x77,8 mm, grau de protecció IP20, muntatge sobre carril DIN (35 mm) i fixació a carril mitjançant grapes, segons UNE-EN 60898-1.</t>
  </si>
  <si>
    <t>mo003</t>
  </si>
  <si>
    <t>Mà d'obra</t>
  </si>
  <si>
    <t>h</t>
  </si>
  <si>
    <t>Oficial 1ª electricista.</t>
  </si>
  <si>
    <t>%</t>
  </si>
  <si>
    <t>%</t>
  </si>
  <si>
    <t>Costes directos complementarios</t>
  </si>
  <si>
    <t>IEX050e</t>
  </si>
  <si>
    <t>A%AUX001</t>
  </si>
  <si>
    <t>%</t>
  </si>
  <si>
    <t>Despeses auxiliars sobre la mà d'obra</t>
  </si>
  <si>
    <t>PG1B-DGPQ</t>
  </si>
  <si>
    <t>0105</t>
  </si>
  <si>
    <t>0106</t>
  </si>
  <si>
    <t>Capítol</t>
  </si>
  <si>
    <t>IL·LUMINACIÓ</t>
  </si>
  <si>
    <t>ULAP-F41SFa</t>
  </si>
  <si>
    <t>Partida</t>
  </si>
  <si>
    <t>u</t>
  </si>
  <si>
    <t>Lluminària UFO XL de BENITO</t>
  </si>
  <si>
    <t>PLAP-F41SFa</t>
  </si>
  <si>
    <t>Material</t>
  </si>
  <si>
    <t>u</t>
  </si>
  <si>
    <t>Lluminària UFO XL de BENITO</t>
  </si>
  <si>
    <t>OGEN028</t>
  </si>
  <si>
    <t>Mà d'obra</t>
  </si>
  <si>
    <t>h</t>
  </si>
  <si>
    <t>Oficial 1ª electricista</t>
  </si>
  <si>
    <t>OGEN029</t>
  </si>
  <si>
    <t>Mà d'obra</t>
  </si>
  <si>
    <t>h</t>
  </si>
  <si>
    <t>Ayudante electricista</t>
  </si>
  <si>
    <t>%AUX_3</t>
  </si>
  <si>
    <t>%</t>
  </si>
  <si>
    <t>Medios auxiliares</t>
  </si>
  <si>
    <t>ULAP-F41SFa</t>
  </si>
  <si>
    <t>PHB3-HZ84</t>
  </si>
  <si>
    <t>Partida</t>
  </si>
  <si>
    <t>u</t>
  </si>
  <si>
    <t>Llum.estanca+leds &lt;= 50000 h,rect.,l=1500mm,50W,6500lm,no regulable,classe I,policarbon.,IP65,4000K,munt.superf.</t>
  </si>
  <si>
    <t>A01-FEPD</t>
  </si>
  <si>
    <t>Mà d'obra</t>
  </si>
  <si>
    <t>h</t>
  </si>
  <si>
    <t>Ajudant electricista</t>
  </si>
  <si>
    <t>A0F-000E</t>
  </si>
  <si>
    <t>Mà d'obra</t>
  </si>
  <si>
    <t>h</t>
  </si>
  <si>
    <t>Oficial 1a electricista</t>
  </si>
  <si>
    <t>BHB1-HZ71</t>
  </si>
  <si>
    <t>Material</t>
  </si>
  <si>
    <t>u</t>
  </si>
  <si>
    <t>Llum.estanca+leds &lt;= 50000 h,rect.,l=1500mm,50W,6500lm,no regulable,classe I,policarbon.,IP65,4000K</t>
  </si>
  <si>
    <t>A%AUX001</t>
  </si>
  <si>
    <t>%</t>
  </si>
  <si>
    <t>Despeses auxiliars sobre la mà d'obra</t>
  </si>
  <si>
    <t>PHB3-HZ84</t>
  </si>
  <si>
    <t>PH57-B3A4</t>
  </si>
  <si>
    <t>Partida</t>
  </si>
  <si>
    <t>u</t>
  </si>
  <si>
    <t>Llum d'emergència Normalux Hermetic XL</t>
  </si>
  <si>
    <t>A01-FEPD</t>
  </si>
  <si>
    <t>Mà d'obra</t>
  </si>
  <si>
    <t>h</t>
  </si>
  <si>
    <t>Ajudant electricista</t>
  </si>
  <si>
    <t>A0F-000E</t>
  </si>
  <si>
    <t>Mà d'obra</t>
  </si>
  <si>
    <t>h</t>
  </si>
  <si>
    <t>Oficial 1a electricista</t>
  </si>
  <si>
    <t>BH65-2IIR</t>
  </si>
  <si>
    <t>Material</t>
  </si>
  <si>
    <t>u</t>
  </si>
  <si>
    <t>Llum d'emergència Normalux Hermetic XL</t>
  </si>
  <si>
    <t>A%AUX001</t>
  </si>
  <si>
    <t>%</t>
  </si>
  <si>
    <t>Despeses auxiliars sobre la mà d'obra</t>
  </si>
  <si>
    <t>PH57-B3A4</t>
  </si>
  <si>
    <t>PHQE-C04O</t>
  </si>
  <si>
    <t>Partida</t>
  </si>
  <si>
    <t>u</t>
  </si>
  <si>
    <t>Projector ext.leds &lt;= 80000h,rect.,distrib.asimèt.extens.,31W,4320lm,no regulable,classe I,cos alumini injectat,difus.vidre trempat,IP66,col.</t>
  </si>
  <si>
    <t>A01-FEPD</t>
  </si>
  <si>
    <t>Mà d'obra</t>
  </si>
  <si>
    <t>h</t>
  </si>
  <si>
    <t>Ajudant electricista</t>
  </si>
  <si>
    <t>A0F-000E</t>
  </si>
  <si>
    <t>Mà d'obra</t>
  </si>
  <si>
    <t>h</t>
  </si>
  <si>
    <t>Oficial 1a electricista</t>
  </si>
  <si>
    <t>BHQ6-2Y8Z</t>
  </si>
  <si>
    <t>Material</t>
  </si>
  <si>
    <t>u</t>
  </si>
  <si>
    <t>Projector ext.leds &lt;= 80000h,rect.,distrib.asimèt.extens.,31W,4320lm,no regulable,classe I,cos alumini injectat,difus.vidre trempat,IP66</t>
  </si>
  <si>
    <t>A%AUX001</t>
  </si>
  <si>
    <t>%</t>
  </si>
  <si>
    <t>Despeses auxiliars sobre la mà d'obra</t>
  </si>
  <si>
    <t>PHQE-C04O</t>
  </si>
  <si>
    <t>0106</t>
  </si>
  <si>
    <t>0107</t>
  </si>
  <si>
    <t>Capítol</t>
  </si>
  <si>
    <t>XARXA DE TERRA</t>
  </si>
  <si>
    <t>PG3B-E7CS</t>
  </si>
  <si>
    <t>Partida</t>
  </si>
  <si>
    <t>m</t>
  </si>
  <si>
    <t>Conductor Cu nu,1x35mm2,munt.p.terra</t>
  </si>
  <si>
    <t>Uts.</t>
  </si>
  <si>
    <t>Llargada</t>
  </si>
  <si>
    <t>Amplada</t>
  </si>
  <si>
    <t>Alçada</t>
  </si>
  <si>
    <t>Parcial</t>
  </si>
  <si>
    <t>Subtotal</t>
  </si>
  <si>
    <t>A01-FEPD</t>
  </si>
  <si>
    <t>Mà d'obra</t>
  </si>
  <si>
    <t>h</t>
  </si>
  <si>
    <t>Ajudant electricista</t>
  </si>
  <si>
    <t>A0F-000E</t>
  </si>
  <si>
    <t>Mà d'obra</t>
  </si>
  <si>
    <t>h</t>
  </si>
  <si>
    <t>Oficial 1a electricista</t>
  </si>
  <si>
    <t>BG3I-06W3</t>
  </si>
  <si>
    <t>Material</t>
  </si>
  <si>
    <t>m</t>
  </si>
  <si>
    <t>Conductor Cu nu,1x35mm2</t>
  </si>
  <si>
    <t>BGY3-0B2S</t>
  </si>
  <si>
    <t>Material</t>
  </si>
  <si>
    <t>u</t>
  </si>
  <si>
    <t>P.p.elem.especials p/conduc.Cu.nus</t>
  </si>
  <si>
    <t>A%AUX001</t>
  </si>
  <si>
    <t>%</t>
  </si>
  <si>
    <t>Despeses auxiliars sobre la mà d'obra</t>
  </si>
  <si>
    <t>PG3B-E7CS</t>
  </si>
  <si>
    <t>PGD1-E3BU</t>
  </si>
  <si>
    <t>Partida</t>
  </si>
  <si>
    <t>u</t>
  </si>
  <si>
    <t>Piqueta connex.terra acer,300µm,long.=2000mm,D=14,6mm,clav.terr.</t>
  </si>
  <si>
    <t>Uts.</t>
  </si>
  <si>
    <t>Llargada</t>
  </si>
  <si>
    <t>Amplada</t>
  </si>
  <si>
    <t>Alçada</t>
  </si>
  <si>
    <t>Parcial</t>
  </si>
  <si>
    <t>Subtotal</t>
  </si>
  <si>
    <t>A01-FEPD</t>
  </si>
  <si>
    <t>Mà d'obra</t>
  </si>
  <si>
    <t>h</t>
  </si>
  <si>
    <t>Ajudant electricista</t>
  </si>
  <si>
    <t>A0F-000E</t>
  </si>
  <si>
    <t>Mà d'obra</t>
  </si>
  <si>
    <t>h</t>
  </si>
  <si>
    <t>Oficial 1a electricista</t>
  </si>
  <si>
    <t>BGD5-06SW</t>
  </si>
  <si>
    <t>Material</t>
  </si>
  <si>
    <t>u</t>
  </si>
  <si>
    <t>Piqueta connex.terra acer,long.=2000mm,D=14,6mm,300µm</t>
  </si>
  <si>
    <t>BGYD-0B2W</t>
  </si>
  <si>
    <t>Material</t>
  </si>
  <si>
    <t>u</t>
  </si>
  <si>
    <t>P.p.elem.especials p/piqu.connex.terr.</t>
  </si>
  <si>
    <t>A%AUX001</t>
  </si>
  <si>
    <t>%</t>
  </si>
  <si>
    <t>Despeses auxiliars sobre la mà d'obra</t>
  </si>
  <si>
    <t>PGD1-E3BU</t>
  </si>
  <si>
    <t>PGD4-614M</t>
  </si>
  <si>
    <t>Partida</t>
  </si>
  <si>
    <t>u</t>
  </si>
  <si>
    <t>Punt connex.terra pont secc.platina coure,munt.caixa,col.superf.</t>
  </si>
  <si>
    <t>A01-FEPD</t>
  </si>
  <si>
    <t>Mà d'obra</t>
  </si>
  <si>
    <t>h</t>
  </si>
  <si>
    <t>Ajudant electricista</t>
  </si>
  <si>
    <t>A0F-000E</t>
  </si>
  <si>
    <t>Mà d'obra</t>
  </si>
  <si>
    <t>h</t>
  </si>
  <si>
    <t>Oficial 1a electricista</t>
  </si>
  <si>
    <t>BGD4-16WD</t>
  </si>
  <si>
    <t>Material</t>
  </si>
  <si>
    <t>u</t>
  </si>
  <si>
    <t>Punt connex.terra,pont secc.platina coure,munt.caix.p/munt.superf.</t>
  </si>
  <si>
    <t>A%AUX001</t>
  </si>
  <si>
    <t>%</t>
  </si>
  <si>
    <t>Despeses auxiliars sobre la mà d'obra</t>
  </si>
  <si>
    <t>PGD4-614M</t>
  </si>
  <si>
    <t>0107</t>
  </si>
  <si>
    <t>0108</t>
  </si>
  <si>
    <t>Capítol</t>
  </si>
  <si>
    <t>LEGALITZACIÓ BT</t>
  </si>
  <si>
    <t>ZZLEGBT</t>
  </si>
  <si>
    <t>Partida</t>
  </si>
  <si>
    <t>u</t>
  </si>
  <si>
    <t>Legalització de la instal.lació elèctrica</t>
  </si>
  <si>
    <t>0108</t>
  </si>
  <si>
    <t>01</t>
  </si>
  <si>
    <t>02</t>
  </si>
  <si>
    <t>Capítol</t>
  </si>
  <si>
    <t>INSTAL.LACIÓ DE COMUNICACIONS</t>
  </si>
  <si>
    <t>ILA010</t>
  </si>
  <si>
    <t>Partida</t>
  </si>
  <si>
    <t>U</t>
  </si>
  <si>
    <t>Pericó d'entrada.</t>
  </si>
  <si>
    <t>mt10hmf010tLb</t>
  </si>
  <si>
    <t>Material</t>
  </si>
  <si>
    <t>m³</t>
  </si>
  <si>
    <t>Formigó HM-20/B/20/X0, fabricat en central.</t>
  </si>
  <si>
    <t>mt40iar010a</t>
  </si>
  <si>
    <t>Material</t>
  </si>
  <si>
    <t>U</t>
  </si>
  <si>
    <t>Pericó d'entrada prefabricat per a ICT de 400x400x600 mm de dimensions interiors, amb ganxos per tracció, marc i tapa metàl·lics.</t>
  </si>
  <si>
    <t>mo020</t>
  </si>
  <si>
    <t>Mà d'obra</t>
  </si>
  <si>
    <t>h</t>
  </si>
  <si>
    <t>Oficial 1ª construcció.</t>
  </si>
  <si>
    <t>mo113</t>
  </si>
  <si>
    <t>Mà d'obra</t>
  </si>
  <si>
    <t>h</t>
  </si>
  <si>
    <t>Peó ordinari construcció.</t>
  </si>
  <si>
    <t>%</t>
  </si>
  <si>
    <t>%</t>
  </si>
  <si>
    <t>Costes directos complementarios</t>
  </si>
  <si>
    <t>ILA010</t>
  </si>
  <si>
    <t>ILA020</t>
  </si>
  <si>
    <t>Partida</t>
  </si>
  <si>
    <t>m</t>
  </si>
  <si>
    <t>Canalització externa soterrada.</t>
  </si>
  <si>
    <t>mt35aia070ac</t>
  </si>
  <si>
    <t>Material</t>
  </si>
  <si>
    <t>m</t>
  </si>
  <si>
    <t>Tub corbable, subministrat en rotllo, de polietilè de doble paret (interior llisa i exterior corrugada), de color taronja, de 63 mm de diàmetre nominal, per a canalització soterrada, resistència a la compressió 450 N, resistència a l'impacte 20 joules, amb grau de protecció IP549 segons UNE 20324, amb fil guia incorporat. Segons UNE-EN 61386-1, UNE-EN 61386-22 i UNE-EN 50086-2-4.</t>
  </si>
  <si>
    <t>mt10hmf010tLb</t>
  </si>
  <si>
    <t>Material</t>
  </si>
  <si>
    <t>m³</t>
  </si>
  <si>
    <t>Formigó HM-20/B/20/X0, fabricat en central.</t>
  </si>
  <si>
    <t>mo020</t>
  </si>
  <si>
    <t>Mà d'obra</t>
  </si>
  <si>
    <t>h</t>
  </si>
  <si>
    <t>Oficial 1ª construcció.</t>
  </si>
  <si>
    <t>mo113</t>
  </si>
  <si>
    <t>Mà d'obra</t>
  </si>
  <si>
    <t>h</t>
  </si>
  <si>
    <t>Peó ordinari construcció.</t>
  </si>
  <si>
    <t>%</t>
  </si>
  <si>
    <t>%</t>
  </si>
  <si>
    <t>Costes directos complementarios</t>
  </si>
  <si>
    <t>ILA020</t>
  </si>
  <si>
    <t>ILA030</t>
  </si>
  <si>
    <t>Partida</t>
  </si>
  <si>
    <t>U</t>
  </si>
  <si>
    <t>Pericó de pas.</t>
  </si>
  <si>
    <t>mt10hmf010tLc</t>
  </si>
  <si>
    <t>Material</t>
  </si>
  <si>
    <t>m³</t>
  </si>
  <si>
    <t>Formigó HM-20/P/20/X0, fabricat en central.</t>
  </si>
  <si>
    <t>mt40iar020a</t>
  </si>
  <si>
    <t>Material</t>
  </si>
  <si>
    <t>U</t>
  </si>
  <si>
    <t>Pericó de registre de pas, en canalització externa soterrada d'ICT de 400x400x400 mm de dimensions interiors, amb ganxos per tracció, marc i tapa metàl·lics.</t>
  </si>
  <si>
    <t>mo020</t>
  </si>
  <si>
    <t>Mà d'obra</t>
  </si>
  <si>
    <t>h</t>
  </si>
  <si>
    <t>Oficial 1ª construcció.</t>
  </si>
  <si>
    <t>mo077</t>
  </si>
  <si>
    <t>Mà d'obra</t>
  </si>
  <si>
    <t>h</t>
  </si>
  <si>
    <t>Ajudant construcció.</t>
  </si>
  <si>
    <t>%</t>
  </si>
  <si>
    <t>%</t>
  </si>
  <si>
    <t>Costes directos complementarios</t>
  </si>
  <si>
    <t>ILA030</t>
  </si>
  <si>
    <t>ILE021</t>
  </si>
  <si>
    <t>Partida</t>
  </si>
  <si>
    <t>U</t>
  </si>
  <si>
    <t>Registre d'enllaç inferior.</t>
  </si>
  <si>
    <t>mt40ire010a</t>
  </si>
  <si>
    <t>Material</t>
  </si>
  <si>
    <t>U</t>
  </si>
  <si>
    <t>Registre d'enllaç inferior per pas i distribució d'instal·lacions d'ICT, format per armari amb cos i porta de polièster reforçat amb fibra de vidre de 450x450x120 mm, per muntar en superfície. Inclús tancament amb clau, accessoris, peces especials i fixacions.</t>
  </si>
  <si>
    <t>mo056</t>
  </si>
  <si>
    <t>Mà d'obra</t>
  </si>
  <si>
    <t>h</t>
  </si>
  <si>
    <t>Ajudant instal·lador de telecomunicacions.</t>
  </si>
  <si>
    <t>%</t>
  </si>
  <si>
    <t>%</t>
  </si>
  <si>
    <t>Costes directos complementarios</t>
  </si>
  <si>
    <t>ILE021</t>
  </si>
  <si>
    <t>02</t>
  </si>
  <si>
    <t>05</t>
  </si>
  <si>
    <t>Capítol</t>
  </si>
  <si>
    <t>INSTAL.LACIÓ DE LAMPISTERIA</t>
  </si>
  <si>
    <t>IFA010</t>
  </si>
  <si>
    <t>Partida</t>
  </si>
  <si>
    <t>U</t>
  </si>
  <si>
    <t>Connexió de servei de proveïment d'aigua potable.</t>
  </si>
  <si>
    <t>PJM1-H9XR</t>
  </si>
  <si>
    <t>Partida</t>
  </si>
  <si>
    <t>u</t>
  </si>
  <si>
    <t>Armari metàl·lic,tanca norm.,p/comptador aigua,800x600x300,encastat a mur</t>
  </si>
  <si>
    <t>A01-FEPH</t>
  </si>
  <si>
    <t>Mà d'obra</t>
  </si>
  <si>
    <t>h</t>
  </si>
  <si>
    <t>Ajudant muntador</t>
  </si>
  <si>
    <t>A0F-000R</t>
  </si>
  <si>
    <t>Mà d'obra</t>
  </si>
  <si>
    <t>h</t>
  </si>
  <si>
    <t>Oficial 1a muntador</t>
  </si>
  <si>
    <t>BJM1-H697</t>
  </si>
  <si>
    <t>Material</t>
  </si>
  <si>
    <t>u</t>
  </si>
  <si>
    <t>Armari metàl·lic,tanca norm.,p/instal·lació comptador aigua,800x600x300,p/encastar</t>
  </si>
  <si>
    <t>A%AUX001</t>
  </si>
  <si>
    <t>%</t>
  </si>
  <si>
    <t>Despeses auxiliars sobre la mà d'obra</t>
  </si>
  <si>
    <t>PJM1-H9XR</t>
  </si>
  <si>
    <t>IFC010b</t>
  </si>
  <si>
    <t>Partida</t>
  </si>
  <si>
    <t>U</t>
  </si>
  <si>
    <t>Preinstal·lació de comptador per proveïment d'aigua potable.</t>
  </si>
  <si>
    <t>mt37svc010a</t>
  </si>
  <si>
    <t>Material</t>
  </si>
  <si>
    <t>U</t>
  </si>
  <si>
    <t>Vàlvula de comporta de llautó fosa, per roscar, de 1/2".</t>
  </si>
  <si>
    <t>mt37www060b</t>
  </si>
  <si>
    <t>Material</t>
  </si>
  <si>
    <t>U</t>
  </si>
  <si>
    <t>Filtre retenidor de residus de llautó, amb tamís d'acer inoxidable amb perforacions de 0,4 mm de diàmetre, amb rosca de 1/2", per a una pressió màxima de treball de 16 bar i una temperatura màxima de 110°C.</t>
  </si>
  <si>
    <t>mt37sgl012a</t>
  </si>
  <si>
    <t>Material</t>
  </si>
  <si>
    <t>U</t>
  </si>
  <si>
    <t>Aixeta de comprovació de llautó, per roscar, de 1/2".</t>
  </si>
  <si>
    <t>mt37svr010a</t>
  </si>
  <si>
    <t>Material</t>
  </si>
  <si>
    <t>U</t>
  </si>
  <si>
    <t>Vàlvula de retenció de llautó per roscar de 1/2".</t>
  </si>
  <si>
    <t>mt37cir010a</t>
  </si>
  <si>
    <t>Material</t>
  </si>
  <si>
    <t>U</t>
  </si>
  <si>
    <t>Arqueta per allotjar comptador individual d'aigua</t>
  </si>
  <si>
    <t>mt37www010</t>
  </si>
  <si>
    <t>Material</t>
  </si>
  <si>
    <t>U</t>
  </si>
  <si>
    <t>Material auxiliar per a instal·lacions de lampisteria.</t>
  </si>
  <si>
    <t>mo008</t>
  </si>
  <si>
    <t>Mà d'obra</t>
  </si>
  <si>
    <t>h</t>
  </si>
  <si>
    <t>Oficial 1ª lampista.</t>
  </si>
  <si>
    <t>mo107</t>
  </si>
  <si>
    <t>Mà d'obra</t>
  </si>
  <si>
    <t>h</t>
  </si>
  <si>
    <t>Ajudant lampista.</t>
  </si>
  <si>
    <t>%</t>
  </si>
  <si>
    <t>%</t>
  </si>
  <si>
    <t>Costes directos complementarios</t>
  </si>
  <si>
    <t>IFC010b</t>
  </si>
  <si>
    <t>IFB006</t>
  </si>
  <si>
    <t>Partida</t>
  </si>
  <si>
    <t>m</t>
  </si>
  <si>
    <t>Canonada para alimentació d'aigua potable, soterrada.32</t>
  </si>
  <si>
    <t>Uts.</t>
  </si>
  <si>
    <t>Llargada</t>
  </si>
  <si>
    <t>Amplada</t>
  </si>
  <si>
    <t>Alçada</t>
  </si>
  <si>
    <t>Parcial</t>
  </si>
  <si>
    <t>Subtotal</t>
  </si>
  <si>
    <t>mt01ara010</t>
  </si>
  <si>
    <t>Material</t>
  </si>
  <si>
    <t>m³</t>
  </si>
  <si>
    <t>Sorra de 0 a 5 mm de diàmetre.</t>
  </si>
  <si>
    <t>mt37tpa020bcg</t>
  </si>
  <si>
    <t>Material</t>
  </si>
  <si>
    <t>m</t>
  </si>
  <si>
    <t>Tub de polietilè PE 100, de color negre amb bandes de color blau, de 32 mm de diàmetre exterior i 2 mm de gruix, SDR17, PN=10 atm, segons UNE-EN 12201-2, amb el preu incrementat el 30% en concepte d'accessoris i peces especials.</t>
  </si>
  <si>
    <t>mo020</t>
  </si>
  <si>
    <t>Mà d'obra</t>
  </si>
  <si>
    <t>h</t>
  </si>
  <si>
    <t>Oficial 1ª construcció.</t>
  </si>
  <si>
    <t>mo113</t>
  </si>
  <si>
    <t>Mà d'obra</t>
  </si>
  <si>
    <t>h</t>
  </si>
  <si>
    <t>Peó ordinari construcció.</t>
  </si>
  <si>
    <t>mo008</t>
  </si>
  <si>
    <t>Mà d'obra</t>
  </si>
  <si>
    <t>h</t>
  </si>
  <si>
    <t>Oficial 1ª lampista.</t>
  </si>
  <si>
    <t>mo107</t>
  </si>
  <si>
    <t>Mà d'obra</t>
  </si>
  <si>
    <t>h</t>
  </si>
  <si>
    <t>Ajudant lampista.</t>
  </si>
  <si>
    <t>%</t>
  </si>
  <si>
    <t>%</t>
  </si>
  <si>
    <t>Costes directos complementarios</t>
  </si>
  <si>
    <t>IFB006</t>
  </si>
  <si>
    <t>IFW010d</t>
  </si>
  <si>
    <t>Partida</t>
  </si>
  <si>
    <t>U</t>
  </si>
  <si>
    <t>Vàlvula de tall.1"</t>
  </si>
  <si>
    <t>mt37ava010n</t>
  </si>
  <si>
    <t>Material</t>
  </si>
  <si>
    <t>U</t>
  </si>
  <si>
    <t>Vàlvula d'esfera, sèrie Tajo 2000 "ARCO", de 1", per roscar segons UNE-EN ISO 228-1, PN=50 bar i temperatura de servei des de -20°C (excloent congelació) fins a 140°C, formada per cos de llautó CW617N acabat cromat segons UNE-EN 12165, comandament d'acer inoxidable AISI 403, assentaments de l'obturador i sistema de rosca de premsa de PTFE que permet el recollament, segons UNE-EN 13828.</t>
  </si>
  <si>
    <t>mt37www010</t>
  </si>
  <si>
    <t>Material</t>
  </si>
  <si>
    <t>U</t>
  </si>
  <si>
    <t>Material auxiliar per a instal·lacions de lampisteria.</t>
  </si>
  <si>
    <t>mo008</t>
  </si>
  <si>
    <t>Mà d'obra</t>
  </si>
  <si>
    <t>h</t>
  </si>
  <si>
    <t>Oficial 1ª lampista.</t>
  </si>
  <si>
    <t>mo107</t>
  </si>
  <si>
    <t>Mà d'obra</t>
  </si>
  <si>
    <t>h</t>
  </si>
  <si>
    <t>Ajudant lampista.</t>
  </si>
  <si>
    <t>%</t>
  </si>
  <si>
    <t>%</t>
  </si>
  <si>
    <t>Costes directos complementarios</t>
  </si>
  <si>
    <t>IFW010d</t>
  </si>
  <si>
    <t>IFW030</t>
  </si>
  <si>
    <t>Partida</t>
  </si>
  <si>
    <t>U</t>
  </si>
  <si>
    <t>Aixeta.</t>
  </si>
  <si>
    <t>mt37sgl040b</t>
  </si>
  <si>
    <t>Material</t>
  </si>
  <si>
    <t>U</t>
  </si>
  <si>
    <t>Aixeta de llautó per a jardí o terrassa, amb ràcord de connexió a mànega, de 3/4" de diàmetre.</t>
  </si>
  <si>
    <t>mt37www010</t>
  </si>
  <si>
    <t>Material</t>
  </si>
  <si>
    <t>U</t>
  </si>
  <si>
    <t>Material auxiliar per a instal·lacions de lampisteria.</t>
  </si>
  <si>
    <t>mo008</t>
  </si>
  <si>
    <t>Mà d'obra</t>
  </si>
  <si>
    <t>h</t>
  </si>
  <si>
    <t>Oficial 1ª lampista.</t>
  </si>
  <si>
    <t>mo107</t>
  </si>
  <si>
    <t>Mà d'obra</t>
  </si>
  <si>
    <t>h</t>
  </si>
  <si>
    <t>Ajudant lampista.</t>
  </si>
  <si>
    <t>%</t>
  </si>
  <si>
    <t>%</t>
  </si>
  <si>
    <t>Costes directos complementarios</t>
  </si>
  <si>
    <t>IFW030</t>
  </si>
  <si>
    <t>05</t>
  </si>
  <si>
    <t>06</t>
  </si>
  <si>
    <t>Capítol</t>
  </si>
  <si>
    <t>INSTAL.LACIÓ DE SANEJAMENT</t>
  </si>
  <si>
    <t>ISB010</t>
  </si>
  <si>
    <t>Partida</t>
  </si>
  <si>
    <t>m</t>
  </si>
  <si>
    <t>Baixant en l'interior de l'edifici per a aigües residuals i pluvials.</t>
  </si>
  <si>
    <t>Uts.</t>
  </si>
  <si>
    <t>Llargada</t>
  </si>
  <si>
    <t>Amplada</t>
  </si>
  <si>
    <t>Alçada</t>
  </si>
  <si>
    <t>Parcial</t>
  </si>
  <si>
    <t>Subtotal</t>
  </si>
  <si>
    <t>mt36tit400h</t>
  </si>
  <si>
    <t>Material</t>
  </si>
  <si>
    <t>U</t>
  </si>
  <si>
    <t>Material auxiliar per a muntatge i subjecció a l'obra de les canonades de PVC, sèrie B, de 125 mm de diàmetre.</t>
  </si>
  <si>
    <t>mt36tit010he</t>
  </si>
  <si>
    <t>Material</t>
  </si>
  <si>
    <t>m</t>
  </si>
  <si>
    <t>Tub de PVC, sèrie B, de 125 mm de diàmetre i 3,2 mm de gruix, segons UNE-EN 1329-1, amb el preu incrementat el 20% en concepte d'accessoris i peces especials.</t>
  </si>
  <si>
    <t>mt11var009</t>
  </si>
  <si>
    <t>Material</t>
  </si>
  <si>
    <t>l</t>
  </si>
  <si>
    <t>Líquid netejador per enganxat mitjançant adhesiu de tubs i accessoris de PVC.</t>
  </si>
  <si>
    <t>mt11var010</t>
  </si>
  <si>
    <t>Material</t>
  </si>
  <si>
    <t>l</t>
  </si>
  <si>
    <t>Adhesiu per tubs i accessoris de PVC.</t>
  </si>
  <si>
    <t>mo008</t>
  </si>
  <si>
    <t>Mà d'obra</t>
  </si>
  <si>
    <t>h</t>
  </si>
  <si>
    <t>Oficial 1ª lampista.</t>
  </si>
  <si>
    <t>mo107</t>
  </si>
  <si>
    <t>Mà d'obra</t>
  </si>
  <si>
    <t>h</t>
  </si>
  <si>
    <t>Ajudant lampista.</t>
  </si>
  <si>
    <t>%</t>
  </si>
  <si>
    <t>%</t>
  </si>
  <si>
    <t>Costes directos complementarios</t>
  </si>
  <si>
    <t>ISB010</t>
  </si>
  <si>
    <t>ASC010</t>
  </si>
  <si>
    <t>Partida</t>
  </si>
  <si>
    <t>m</t>
  </si>
  <si>
    <t>Col·lector soterrat.125</t>
  </si>
  <si>
    <t>Uts.</t>
  </si>
  <si>
    <t>Llargada</t>
  </si>
  <si>
    <t>Amplada</t>
  </si>
  <si>
    <t>Alçada</t>
  </si>
  <si>
    <t>Parcial</t>
  </si>
  <si>
    <t>Subtotal</t>
  </si>
  <si>
    <t>mt01ara010</t>
  </si>
  <si>
    <t>Material</t>
  </si>
  <si>
    <t>m³</t>
  </si>
  <si>
    <t>Sorra de 0 a 5 mm de diàmetre.</t>
  </si>
  <si>
    <t>mt11tpb020k</t>
  </si>
  <si>
    <t>Material</t>
  </si>
  <si>
    <t>m</t>
  </si>
  <si>
    <t>Tub de PVC llis, per sanejament soterrat sense pressió, sèrie SN-4, rigidesa anular nominal 4 kN/m², de 125 mm de diàmetre exterior i 3,1 mm de gruix, segons UNE-EN 1401-1, inclús junts de goma.</t>
  </si>
  <si>
    <t>mt11ade100a</t>
  </si>
  <si>
    <t>Material</t>
  </si>
  <si>
    <t>kg</t>
  </si>
  <si>
    <t>Lubrificant per a unió mitjançant junt elàstica de tubs i accessoris.</t>
  </si>
  <si>
    <t>mt11tpb021k</t>
  </si>
  <si>
    <t>Material</t>
  </si>
  <si>
    <t>U</t>
  </si>
  <si>
    <t>Repercussió, per m de canonada, d'accessoris, unions i peces especials per a tub de PVC llis, per sanejament soterrat sense pressió, sèrie SN-4, de 125 mm de diàmetre exterior.</t>
  </si>
  <si>
    <t>mq04dua020b</t>
  </si>
  <si>
    <t>Maquinària</t>
  </si>
  <si>
    <t>h</t>
  </si>
  <si>
    <t>Dúmper de descàrrega frontal de 2 t de càrrega útil.</t>
  </si>
  <si>
    <t>mq02rop020</t>
  </si>
  <si>
    <t>Maquinària</t>
  </si>
  <si>
    <t>h</t>
  </si>
  <si>
    <t>Picó vibrant de guiat manual, de 80 kg, amb placa de 30x30 cm, tipus piconadora de granota.</t>
  </si>
  <si>
    <t>mq02cia020j</t>
  </si>
  <si>
    <t>Maquinària</t>
  </si>
  <si>
    <t>h</t>
  </si>
  <si>
    <t>Camió cisterna, de 8 m³ de capacitat.</t>
  </si>
  <si>
    <t>mo020</t>
  </si>
  <si>
    <t>Mà d'obra</t>
  </si>
  <si>
    <t>h</t>
  </si>
  <si>
    <t>Oficial 1ª construcció.</t>
  </si>
  <si>
    <t>mo113</t>
  </si>
  <si>
    <t>Mà d'obra</t>
  </si>
  <si>
    <t>h</t>
  </si>
  <si>
    <t>Peó ordinari construcció.</t>
  </si>
  <si>
    <t>mo008</t>
  </si>
  <si>
    <t>Mà d'obra</t>
  </si>
  <si>
    <t>h</t>
  </si>
  <si>
    <t>Oficial 1ª lampista.</t>
  </si>
  <si>
    <t>mo107</t>
  </si>
  <si>
    <t>Mà d'obra</t>
  </si>
  <si>
    <t>h</t>
  </si>
  <si>
    <t>Ajudant lampista.</t>
  </si>
  <si>
    <t>%</t>
  </si>
  <si>
    <t>%</t>
  </si>
  <si>
    <t>Costes directos complementarios</t>
  </si>
  <si>
    <t>ASC010</t>
  </si>
  <si>
    <t>ASC010b</t>
  </si>
  <si>
    <t>Partida</t>
  </si>
  <si>
    <t>m</t>
  </si>
  <si>
    <t>Col·lector soterrat.160</t>
  </si>
  <si>
    <t>Uts.</t>
  </si>
  <si>
    <t>Llargada</t>
  </si>
  <si>
    <t>Amplada</t>
  </si>
  <si>
    <t>Alçada</t>
  </si>
  <si>
    <t>Parcial</t>
  </si>
  <si>
    <t>Subtotal</t>
  </si>
  <si>
    <t>mt01ara010</t>
  </si>
  <si>
    <t>Material</t>
  </si>
  <si>
    <t>m³</t>
  </si>
  <si>
    <t>Sorra de 0 a 5 mm de diàmetre.</t>
  </si>
  <si>
    <t>mt11tpb020l</t>
  </si>
  <si>
    <t>Material</t>
  </si>
  <si>
    <t>m</t>
  </si>
  <si>
    <t>Tub de PVC llis, per sanejament soterrat sense pressió, sèrie SN-4, rigidesa anular nominal 4 kN/m², de 160 mm de diàmetre exterior i 3,9 mm de gruix, segons UNE-EN 1401-1, inclús junts de goma.</t>
  </si>
  <si>
    <t>mt11ade100a</t>
  </si>
  <si>
    <t>Material</t>
  </si>
  <si>
    <t>kg</t>
  </si>
  <si>
    <t>Lubrificant per a unió mitjançant junt elàstica de tubs i accessoris.</t>
  </si>
  <si>
    <t>mt11tpb021l</t>
  </si>
  <si>
    <t>Material</t>
  </si>
  <si>
    <t>U</t>
  </si>
  <si>
    <t>Repercussió, per m de canonada, d'accessoris, unions i peces especials per a tub de PVC llis, per sanejament soterrat sense pressió, sèrie SN-4, de 160 mm de diàmetre exterior.</t>
  </si>
  <si>
    <t>mq04dua020b</t>
  </si>
  <si>
    <t>Maquinària</t>
  </si>
  <si>
    <t>h</t>
  </si>
  <si>
    <t>Dúmper de descàrrega frontal de 2 t de càrrega útil.</t>
  </si>
  <si>
    <t>mq02rop020</t>
  </si>
  <si>
    <t>Maquinària</t>
  </si>
  <si>
    <t>h</t>
  </si>
  <si>
    <t>Picó vibrant de guiat manual, de 80 kg, amb placa de 30x30 cm, tipus piconadora de granota.</t>
  </si>
  <si>
    <t>mq02cia020j</t>
  </si>
  <si>
    <t>Maquinària</t>
  </si>
  <si>
    <t>h</t>
  </si>
  <si>
    <t>Camió cisterna, de 8 m³ de capacitat.</t>
  </si>
  <si>
    <t>mo020</t>
  </si>
  <si>
    <t>Mà d'obra</t>
  </si>
  <si>
    <t>h</t>
  </si>
  <si>
    <t>Oficial 1ª construcció.</t>
  </si>
  <si>
    <t>mo113</t>
  </si>
  <si>
    <t>Mà d'obra</t>
  </si>
  <si>
    <t>h</t>
  </si>
  <si>
    <t>Peó ordinari construcció.</t>
  </si>
  <si>
    <t>mo008</t>
  </si>
  <si>
    <t>Mà d'obra</t>
  </si>
  <si>
    <t>h</t>
  </si>
  <si>
    <t>Oficial 1ª lampista.</t>
  </si>
  <si>
    <t>mo107</t>
  </si>
  <si>
    <t>Mà d'obra</t>
  </si>
  <si>
    <t>h</t>
  </si>
  <si>
    <t>Ajudant lampista.</t>
  </si>
  <si>
    <t>%</t>
  </si>
  <si>
    <t>%</t>
  </si>
  <si>
    <t>Costes directos complementarios</t>
  </si>
  <si>
    <t>ASC010b</t>
  </si>
  <si>
    <t>ASC010c</t>
  </si>
  <si>
    <t>Partida</t>
  </si>
  <si>
    <t>m</t>
  </si>
  <si>
    <t>Col·lector soterrat.200</t>
  </si>
  <si>
    <t>Uts.</t>
  </si>
  <si>
    <t>Llargada</t>
  </si>
  <si>
    <t>Amplada</t>
  </si>
  <si>
    <t>Alçada</t>
  </si>
  <si>
    <t>Parcial</t>
  </si>
  <si>
    <t>Subtotal</t>
  </si>
  <si>
    <t>mt01ara010</t>
  </si>
  <si>
    <t>Material</t>
  </si>
  <si>
    <t>m³</t>
  </si>
  <si>
    <t>Sorra de 0 a 5 mm de diàmetre.</t>
  </si>
  <si>
    <t>mt11tpb020m</t>
  </si>
  <si>
    <t>Material</t>
  </si>
  <si>
    <t>m</t>
  </si>
  <si>
    <t>Tub de PVC llis, per sanejament soterrat sense pressió, sèrie SN-4, rigidesa anular nominal 4 kN/m², de 200 mm de diàmetre exterior i 4,9 mm de gruix, segons UNE-EN 1401-1, inclús junts de goma.</t>
  </si>
  <si>
    <t>mt11ade100a</t>
  </si>
  <si>
    <t>Material</t>
  </si>
  <si>
    <t>kg</t>
  </si>
  <si>
    <t>Lubrificant per a unió mitjançant junt elàstica de tubs i accessoris.</t>
  </si>
  <si>
    <t>mt11tpb021m</t>
  </si>
  <si>
    <t>Material</t>
  </si>
  <si>
    <t>U</t>
  </si>
  <si>
    <t>Repercussió, per m de canonada, d'accessoris, unions i peces especials per a tub de PVC llis, per sanejament soterrat sense pressió, sèrie SN-4, de 200 mm de diàmetre exterior.</t>
  </si>
  <si>
    <t>mq04dua020b</t>
  </si>
  <si>
    <t>Maquinària</t>
  </si>
  <si>
    <t>h</t>
  </si>
  <si>
    <t>Dúmper de descàrrega frontal de 2 t de càrrega útil.</t>
  </si>
  <si>
    <t>mq02rop020</t>
  </si>
  <si>
    <t>Maquinària</t>
  </si>
  <si>
    <t>h</t>
  </si>
  <si>
    <t>Picó vibrant de guiat manual, de 80 kg, amb placa de 30x30 cm, tipus piconadora de granota.</t>
  </si>
  <si>
    <t>mq02cia020j</t>
  </si>
  <si>
    <t>Maquinària</t>
  </si>
  <si>
    <t>h</t>
  </si>
  <si>
    <t>Camió cisterna, de 8 m³ de capacitat.</t>
  </si>
  <si>
    <t>mo020</t>
  </si>
  <si>
    <t>Mà d'obra</t>
  </si>
  <si>
    <t>h</t>
  </si>
  <si>
    <t>Oficial 1ª construcció.</t>
  </si>
  <si>
    <t>mo113</t>
  </si>
  <si>
    <t>Mà d'obra</t>
  </si>
  <si>
    <t>h</t>
  </si>
  <si>
    <t>Peó ordinari construcció.</t>
  </si>
  <si>
    <t>mo008</t>
  </si>
  <si>
    <t>Mà d'obra</t>
  </si>
  <si>
    <t>h</t>
  </si>
  <si>
    <t>Oficial 1ª lampista.</t>
  </si>
  <si>
    <t>mo107</t>
  </si>
  <si>
    <t>Mà d'obra</t>
  </si>
  <si>
    <t>h</t>
  </si>
  <si>
    <t>Ajudant lampista.</t>
  </si>
  <si>
    <t>%</t>
  </si>
  <si>
    <t>%</t>
  </si>
  <si>
    <t>Costes directos complementarios</t>
  </si>
  <si>
    <t>ASC010c</t>
  </si>
  <si>
    <t>UAI020</t>
  </si>
  <si>
    <t>Partida</t>
  </si>
  <si>
    <t>U</t>
  </si>
  <si>
    <t>Embornal.</t>
  </si>
  <si>
    <t>mt11arh011b</t>
  </si>
  <si>
    <t>Material</t>
  </si>
  <si>
    <t>U</t>
  </si>
  <si>
    <t>Embornal amb fons i sortida frontal, registrable, prefabricada de formigó fck=25 MPa, de 60x30x75 cm de mesures interiors, per sanejament.</t>
  </si>
  <si>
    <t>mt11rej010b</t>
  </si>
  <si>
    <t>Material</t>
  </si>
  <si>
    <t>U</t>
  </si>
  <si>
    <t>Marc i reixeta de foneria dúctil, classe C-250 segons UNE-EN 124, abatible i proveïda de cadena antirobatori, de 400x400 mm, per a embornal, fins i tot revestiment de pintura bituminosa i relleus antilliscants en la part superior.</t>
  </si>
  <si>
    <t>mt10hmf010tLc</t>
  </si>
  <si>
    <t>Material</t>
  </si>
  <si>
    <t>m³</t>
  </si>
  <si>
    <t>Formigó HM-20/P/20/X0, fabricat en central.</t>
  </si>
  <si>
    <t>mt01arr010a</t>
  </si>
  <si>
    <t>Material</t>
  </si>
  <si>
    <t>t</t>
  </si>
  <si>
    <t>Grava de pedrera, de 19 a 25 mm de diàmetre.</t>
  </si>
  <si>
    <t>mo041</t>
  </si>
  <si>
    <t>Mà d'obra</t>
  </si>
  <si>
    <t>h</t>
  </si>
  <si>
    <t>Oficial 1ª construcció d'obra civil.</t>
  </si>
  <si>
    <t>mo087</t>
  </si>
  <si>
    <t>Mà d'obra</t>
  </si>
  <si>
    <t>h</t>
  </si>
  <si>
    <t>Ajudant construcció d'obra civil.</t>
  </si>
  <si>
    <t>%</t>
  </si>
  <si>
    <t>%</t>
  </si>
  <si>
    <t>Costes directos complementarios</t>
  </si>
  <si>
    <t>UAI020</t>
  </si>
  <si>
    <t>UAA010</t>
  </si>
  <si>
    <t>Partida</t>
  </si>
  <si>
    <t>U</t>
  </si>
  <si>
    <t>Pericó d'obra de fàbrica.</t>
  </si>
  <si>
    <t>mt10hmf010rRb</t>
  </si>
  <si>
    <t>Material</t>
  </si>
  <si>
    <t>m³</t>
  </si>
  <si>
    <t>Formigó HM-30/B/20/X0+XA2, fabricat en central, amb ciment SR.</t>
  </si>
  <si>
    <t>mt04lmb010a</t>
  </si>
  <si>
    <t>Material</t>
  </si>
  <si>
    <t>U</t>
  </si>
  <si>
    <t>Maó ceràmic massís d'elaboració mecànica, per revestir, 29x14x5 cm, per a ús en fàbrica protegida (peça P), densitat 2400 kg/m³, segons UNE-EN 771-1.</t>
  </si>
  <si>
    <t>mt08aaa010a</t>
  </si>
  <si>
    <t>Material</t>
  </si>
  <si>
    <t>m³</t>
  </si>
  <si>
    <t>Aigua.</t>
  </si>
  <si>
    <t>mt09mif010ca</t>
  </si>
  <si>
    <t>Material</t>
  </si>
  <si>
    <t>t</t>
  </si>
  <si>
    <t>Morter industrial per a obra de paleta, de ciment, color gris, categoria M-5 (resistència a compressió 5 N/mm²), subministrat en sacs, segons UNE-EN 998-2.</t>
  </si>
  <si>
    <t>mt11var130</t>
  </si>
  <si>
    <t>Material</t>
  </si>
  <si>
    <t>U</t>
  </si>
  <si>
    <t>Col·lector de connexió de PVC, amb tres entrades i una sortida, amb tapa de registre.</t>
  </si>
  <si>
    <t>mt09mif010la</t>
  </si>
  <si>
    <t>Material</t>
  </si>
  <si>
    <t>t</t>
  </si>
  <si>
    <t>Morter industrial per a obra de paleta, de ciment, color gris, amb additiu hidròfug, categoria M-15 (resistència a compressió 15 N/mm²), subministrat en sacs, segons UNE-EN 998-2.</t>
  </si>
  <si>
    <t>mt11var100</t>
  </si>
  <si>
    <t>Material</t>
  </si>
  <si>
    <t>U</t>
  </si>
  <si>
    <t>Conjunt d'elements necessaris per garantir el tancament hermètic al pas d'olors mefítics en pericons de sanejament, compost per: angulars i xapes metàl·liques amb els seus elements de fixació i ancoratge, junt de neoprè, oli i altres accessoris.</t>
  </si>
  <si>
    <t>mt11arf010e</t>
  </si>
  <si>
    <t>Material</t>
  </si>
  <si>
    <t>U</t>
  </si>
  <si>
    <t>Tapa de formigó armat prefabricat, 85x85x5 cm.</t>
  </si>
  <si>
    <t>mt01arr010a</t>
  </si>
  <si>
    <t>Material</t>
  </si>
  <si>
    <t>t</t>
  </si>
  <si>
    <t>Grava de pedrera, de 19 a 25 mm de diàmetre.</t>
  </si>
  <si>
    <t>mq01ret020b</t>
  </si>
  <si>
    <t>Maquinària</t>
  </si>
  <si>
    <t>h</t>
  </si>
  <si>
    <t>Retrocarregadora sobre pneumàtics, de 70 kW.</t>
  </si>
  <si>
    <t>mo041</t>
  </si>
  <si>
    <t>Mà d'obra</t>
  </si>
  <si>
    <t>h</t>
  </si>
  <si>
    <t>Oficial 1ª construcció d'obra civil.</t>
  </si>
  <si>
    <t>mo087</t>
  </si>
  <si>
    <t>Mà d'obra</t>
  </si>
  <si>
    <t>h</t>
  </si>
  <si>
    <t>Ajudant construcció d'obra civil.</t>
  </si>
  <si>
    <t>%</t>
  </si>
  <si>
    <t>%</t>
  </si>
  <si>
    <t>Costes directos complementarios</t>
  </si>
  <si>
    <t>UAA010</t>
  </si>
  <si>
    <t>UAA010b</t>
  </si>
  <si>
    <t>Partida</t>
  </si>
  <si>
    <t>U</t>
  </si>
  <si>
    <t>Pericó d'obra de fàbrica.</t>
  </si>
  <si>
    <t>mt10hmf010rRb</t>
  </si>
  <si>
    <t>Material</t>
  </si>
  <si>
    <t>m³</t>
  </si>
  <si>
    <t>Formigó HM-30/B/20/X0+XA2, fabricat en central, amb ciment SR.</t>
  </si>
  <si>
    <t>mt04lmb010a</t>
  </si>
  <si>
    <t>Material</t>
  </si>
  <si>
    <t>U</t>
  </si>
  <si>
    <t>Maó ceràmic massís d'elaboració mecànica, per revestir, 29x14x5 cm, per a ús en fàbrica protegida (peça P), densitat 2400 kg/m³, segons UNE-EN 771-1.</t>
  </si>
  <si>
    <t>mt08aaa010a</t>
  </si>
  <si>
    <t>Material</t>
  </si>
  <si>
    <t>m³</t>
  </si>
  <si>
    <t>Aigua.</t>
  </si>
  <si>
    <t>mt09mif010ca</t>
  </si>
  <si>
    <t>Material</t>
  </si>
  <si>
    <t>t</t>
  </si>
  <si>
    <t>Morter industrial per a obra de paleta, de ciment, color gris, categoria M-5 (resistència a compressió 5 N/mm²), subministrat en sacs, segons UNE-EN 998-2.</t>
  </si>
  <si>
    <t>mt11var130</t>
  </si>
  <si>
    <t>Material</t>
  </si>
  <si>
    <t>U</t>
  </si>
  <si>
    <t>Col·lector de connexió de PVC, amb tres entrades i una sortida, amb tapa de registre.</t>
  </si>
  <si>
    <t>mt09mif010la</t>
  </si>
  <si>
    <t>Material</t>
  </si>
  <si>
    <t>t</t>
  </si>
  <si>
    <t>Morter industrial per a obra de paleta, de ciment, color gris, amb additiu hidròfug, categoria M-15 (resistència a compressió 15 N/mm²), subministrat en sacs, segons UNE-EN 998-2.</t>
  </si>
  <si>
    <t>mt11var100</t>
  </si>
  <si>
    <t>Material</t>
  </si>
  <si>
    <t>U</t>
  </si>
  <si>
    <t>Conjunt d'elements necessaris per garantir el tancament hermètic al pas d'olors mefítics en pericons de sanejament, compost per: angulars i xapes metàl·liques amb els seus elements de fixació i ancoratge, junt de neoprè, oli i altres accessoris.</t>
  </si>
  <si>
    <t>mt11arf010g</t>
  </si>
  <si>
    <t>Material</t>
  </si>
  <si>
    <t>U</t>
  </si>
  <si>
    <t>Tapa de formigó armat prefabricat, 118x118x15 cm.</t>
  </si>
  <si>
    <t>mt01arr010a</t>
  </si>
  <si>
    <t>Material</t>
  </si>
  <si>
    <t>t</t>
  </si>
  <si>
    <t>Grava de pedrera, de 19 a 25 mm de diàmetre.</t>
  </si>
  <si>
    <t>mq01ret020b</t>
  </si>
  <si>
    <t>Maquinària</t>
  </si>
  <si>
    <t>h</t>
  </si>
  <si>
    <t>Retrocarregadora sobre pneumàtics, de 70 kW.</t>
  </si>
  <si>
    <t>mo041</t>
  </si>
  <si>
    <t>Mà d'obra</t>
  </si>
  <si>
    <t>h</t>
  </si>
  <si>
    <t>Oficial 1ª construcció d'obra civil.</t>
  </si>
  <si>
    <t>mo087</t>
  </si>
  <si>
    <t>Mà d'obra</t>
  </si>
  <si>
    <t>h</t>
  </si>
  <si>
    <t>Ajudant construcció d'obra civil.</t>
  </si>
  <si>
    <t>%</t>
  </si>
  <si>
    <t>%</t>
  </si>
  <si>
    <t>Costes directos complementarios</t>
  </si>
  <si>
    <t>UAA010b</t>
  </si>
  <si>
    <t>ISS008</t>
  </si>
  <si>
    <t>Partida</t>
  </si>
  <si>
    <t>U</t>
  </si>
  <si>
    <t>Sifó en línia.</t>
  </si>
  <si>
    <t>mt11var120g</t>
  </si>
  <si>
    <t>Material</t>
  </si>
  <si>
    <t>U</t>
  </si>
  <si>
    <t>Sifó en línia de PVC, color teula, registrable, amb unió mascle/femella, de 200 mm de diàmetre.</t>
  </si>
  <si>
    <t>mo008</t>
  </si>
  <si>
    <t>Mà d'obra</t>
  </si>
  <si>
    <t>h</t>
  </si>
  <si>
    <t>Oficial 1ª lampista.</t>
  </si>
  <si>
    <t>%</t>
  </si>
  <si>
    <t>%</t>
  </si>
  <si>
    <t>Costes directos complementarios</t>
  </si>
  <si>
    <t>ISS008</t>
  </si>
  <si>
    <t>ISS008b</t>
  </si>
  <si>
    <t>Partida</t>
  </si>
  <si>
    <t>U</t>
  </si>
  <si>
    <t>Sifó en línia.</t>
  </si>
  <si>
    <t>mt11var120j</t>
  </si>
  <si>
    <t>Material</t>
  </si>
  <si>
    <t>U</t>
  </si>
  <si>
    <t>Sifó en línia de PVC, color gris, registrable, amb unió mascle/femella, de 250 mm de diàmetre.</t>
  </si>
  <si>
    <t>mo008</t>
  </si>
  <si>
    <t>Mà d'obra</t>
  </si>
  <si>
    <t>h</t>
  </si>
  <si>
    <t>Oficial 1ª lampista.</t>
  </si>
  <si>
    <t>%</t>
  </si>
  <si>
    <t>%</t>
  </si>
  <si>
    <t>Costes directos complementarios</t>
  </si>
  <si>
    <t>ISS008b</t>
  </si>
  <si>
    <t>ESCOMSAN</t>
  </si>
  <si>
    <t>Partida</t>
  </si>
  <si>
    <t>u</t>
  </si>
  <si>
    <t>Escomesa a la xarxa de sanejament municipal, amb connexió a pou o col.lector existent, amb ramal de diàmetre 200 o 250mm, inclòs obra civil i material necessari, reealitzat segons criteris de la empresa gestora del servei municipal</t>
  </si>
  <si>
    <t>06</t>
  </si>
  <si>
    <t>07</t>
  </si>
  <si>
    <t>Capítol</t>
  </si>
  <si>
    <t>INSTAL.LACIONS CONTRA INCENDIS</t>
  </si>
  <si>
    <t>0701</t>
  </si>
  <si>
    <t>Capítol</t>
  </si>
  <si>
    <t>EXTINTORS</t>
  </si>
  <si>
    <t>EM31261J</t>
  </si>
  <si>
    <t>Partida</t>
  </si>
  <si>
    <t>u</t>
  </si>
  <si>
    <t>Extintor manual pols seca poliv.,6kg,pressió incorpo.,pintat,sup.paret</t>
  </si>
  <si>
    <t>A012M000</t>
  </si>
  <si>
    <t>Mà d'obra</t>
  </si>
  <si>
    <t>h</t>
  </si>
  <si>
    <t>Oficial 1a muntador</t>
  </si>
  <si>
    <t>A013M000</t>
  </si>
  <si>
    <t>Mà d'obra</t>
  </si>
  <si>
    <t>h</t>
  </si>
  <si>
    <t>Ajudant muntador</t>
  </si>
  <si>
    <t>BM312611</t>
  </si>
  <si>
    <t>Material</t>
  </si>
  <si>
    <t>u</t>
  </si>
  <si>
    <t>Extintor pols seca poliv.,6kg,pressió incorpo.pintat</t>
  </si>
  <si>
    <t>BMY31000</t>
  </si>
  <si>
    <t>Material</t>
  </si>
  <si>
    <t>u</t>
  </si>
  <si>
    <t>P.p.elements especials p/extint.</t>
  </si>
  <si>
    <t>EM31261J</t>
  </si>
  <si>
    <t>EM31351J</t>
  </si>
  <si>
    <t>Partida</t>
  </si>
  <si>
    <t>u</t>
  </si>
  <si>
    <t>Extintor manual CO2,5kg,pressió incorpo.,pintat,sup.paret</t>
  </si>
  <si>
    <t>A012M000</t>
  </si>
  <si>
    <t>Mà d'obra</t>
  </si>
  <si>
    <t>h</t>
  </si>
  <si>
    <t>Oficial 1a muntador</t>
  </si>
  <si>
    <t>A013M000</t>
  </si>
  <si>
    <t>Mà d'obra</t>
  </si>
  <si>
    <t>h</t>
  </si>
  <si>
    <t>Ajudant muntador</t>
  </si>
  <si>
    <t>BM313511</t>
  </si>
  <si>
    <t>Material</t>
  </si>
  <si>
    <t>u</t>
  </si>
  <si>
    <t>Extintor CO2,5kg,pressió incorpo.pintat</t>
  </si>
  <si>
    <t>BMY31000</t>
  </si>
  <si>
    <t>Material</t>
  </si>
  <si>
    <t>u</t>
  </si>
  <si>
    <t>P.p.elements especials p/extint.</t>
  </si>
  <si>
    <t>EM31351J</t>
  </si>
  <si>
    <t>0701</t>
  </si>
  <si>
    <t>0702</t>
  </si>
  <si>
    <t>Capítol</t>
  </si>
  <si>
    <t>ALARMA INCENDIS</t>
  </si>
  <si>
    <t>IOD001</t>
  </si>
  <si>
    <t>Partida</t>
  </si>
  <si>
    <t>U</t>
  </si>
  <si>
    <t>Central de detecció automàtica d'incendis, convencional.</t>
  </si>
  <si>
    <t>mt41pig010a</t>
  </si>
  <si>
    <t>Material</t>
  </si>
  <si>
    <t>U</t>
  </si>
  <si>
    <t>Central de detecció automàtica d'incendis, convencional, microprocessada, de 2 zones de detecció, amb caixa metàl·lica i tapa de ABS, amb mòdul d'alimentació, rectificador de corrent i carregador de bateria, panell de control amb indicador d'alarma i avaria i commutador de tall de zones, segons UNE 23007-2 i UNE 23007-4.</t>
  </si>
  <si>
    <t>mt41rte030c</t>
  </si>
  <si>
    <t>Material</t>
  </si>
  <si>
    <t>U</t>
  </si>
  <si>
    <t>Bateria de 12 V i 7 Ah.</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</si>
  <si>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</si>
  <si>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</si>
  <si>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</si>
  <si>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</si>
  <si>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</si>
  <si>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</si>
  <si>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</si>
  <si>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</si>
  <si>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</si>
  <si>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</si>
  <si>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</si>
  <si>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IOD001</t>
  </si>
  <si>
    <t>IOD004</t>
  </si>
  <si>
    <t>Partida</t>
  </si>
  <si>
    <t>U</t>
  </si>
  <si>
    <t>Polsador d'alarma, convencional.</t>
  </si>
  <si>
    <t>mt41pig110</t>
  </si>
  <si>
    <t>Material</t>
  </si>
  <si>
    <t>U</t>
  </si>
  <si>
    <t>Polsador d'alarma convencional de rearmament manual, de ABS color vermell, protecció IP41, amb led indicador d'alarma color vermell i clau de rearmament, segons UNE-EN 54-11. Inclús elements de fixació.</t>
  </si>
  <si>
    <t>mt41pig115</t>
  </si>
  <si>
    <t>Material</t>
  </si>
  <si>
    <t>U</t>
  </si>
  <si>
    <t>Tapa de metacrilat.</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</si>
  <si>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</si>
  <si>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</si>
  <si>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</si>
  <si>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</si>
  <si>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</si>
  <si>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</si>
  <si>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</si>
  <si>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</si>
  <si>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</si>
  <si>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</si>
  <si>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</si>
  <si>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IOD004</t>
  </si>
  <si>
    <t>IOD005</t>
  </si>
  <si>
    <t>Partida</t>
  </si>
  <si>
    <t>U</t>
  </si>
  <si>
    <t>Sirena interior.</t>
  </si>
  <si>
    <t>mt41pig140</t>
  </si>
  <si>
    <t>Material</t>
  </si>
  <si>
    <t>U</t>
  </si>
  <si>
    <t>Sirena electrònica, de color vermell, amb senyal òptica i acústica, alimentació a 24 Vcc, potència sonora de 100 dB a 1 m i consum de 68 mA, per instal·lar en parament interior, segons UNE-EN 54-3. Inclús elements de fixació.</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</si>
  <si>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</si>
  <si>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</si>
  <si>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</si>
  <si>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</si>
  <si>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</si>
  <si>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</si>
  <si>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</si>
  <si>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</si>
  <si>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</si>
  <si>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</si>
  <si>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</si>
  <si>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IOD005</t>
  </si>
  <si>
    <t>IOD006</t>
  </si>
  <si>
    <t>Partida</t>
  </si>
  <si>
    <t>U</t>
  </si>
  <si>
    <t>Sirena exterior.</t>
  </si>
  <si>
    <t>mt41pig160</t>
  </si>
  <si>
    <t>Material</t>
  </si>
  <si>
    <t>U</t>
  </si>
  <si>
    <t>Sirena electrònica, de ABS color vermell, amb senyal òptica i acústica i rètol "FOC", alimentació a 24 Vcc, potència sonora de 90 dB a 1 m i consum de 230 mA, per instal·lar en parament exterior. Inclús elements de fixació.</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</si>
  <si>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</si>
  <si>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</si>
  <si>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</si>
  <si>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</si>
  <si>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</si>
  <si>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</si>
  <si>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</si>
  <si>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</si>
  <si>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</si>
  <si>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</si>
  <si>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</si>
  <si>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IOD006</t>
  </si>
  <si>
    <t>IOD020</t>
  </si>
  <si>
    <t>Partida</t>
  </si>
  <si>
    <t>m</t>
  </si>
  <si>
    <t>Canalització de protecció de cablejat.</t>
  </si>
  <si>
    <t>Uts.</t>
  </si>
  <si>
    <t>Llargada</t>
  </si>
  <si>
    <t>Amplada</t>
  </si>
  <si>
    <t>Alçada</t>
  </si>
  <si>
    <t>Parcial</t>
  </si>
  <si>
    <t>Subtotal</t>
  </si>
  <si>
    <t>mt35aia130h</t>
  </si>
  <si>
    <t>Material</t>
  </si>
  <si>
    <t>m</t>
  </si>
  <si>
    <t>Tub rígid de policarbonat, exempt d'halògens segons UNE-EN 50267-2-2, endollable, corbable en calent, de color gris, de 16 mm de diàmetre nominal, per a instal·lacions elèctriques en edificis públics i per a evitar emissions de fum i gasos àcids. Resistència a la compressió 1250 N, resistència a l'impacte 6 joules, temperatura de treball -5°C fins 90°C, amb grau de protecció IP547 segons UNE 20324, propietats elèctriques: aïllant, no propagador de la flama. Segons UNE-EN 61386-1 i UNE-EN 61386-22. Inclús abraçadores, elements de subjecció i accessoris (corbes, maneguets, tes, colzes i corbes flexibles).</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</si>
  <si>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</si>
  <si>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</si>
  <si>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</si>
  <si>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</si>
  <si>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</si>
  <si>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</si>
  <si>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</si>
  <si>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</si>
  <si>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</si>
  <si>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</si>
  <si>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</si>
  <si>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IOD020</t>
  </si>
  <si>
    <t>IOD030</t>
  </si>
  <si>
    <t>Partida</t>
  </si>
  <si>
    <t>m</t>
  </si>
  <si>
    <t>Cablejat.</t>
  </si>
  <si>
    <t>Uts.</t>
  </si>
  <si>
    <t>Llargada</t>
  </si>
  <si>
    <t>Amplada</t>
  </si>
  <si>
    <t>Alçada</t>
  </si>
  <si>
    <t>Parcial</t>
  </si>
  <si>
    <t>Subtotal</t>
  </si>
  <si>
    <t>mt35ccg020a</t>
  </si>
  <si>
    <t>Material</t>
  </si>
  <si>
    <t>m</t>
  </si>
  <si>
    <t>Cable bipolar Z1O2Z1-K (AS), no propagador de la flama, amb conductor multifilar de coure classe 5 (-K) de 2x1,5 mm² de secció, amb aïllament de compost termoplàstic a força de poliolefina lliure de halògens amb baixa emissió de fums i gasos corrosius (Z1), pantalla de cinta d'alumini i polièster (O2) amb conductor de drenatge d'estany de coure i coberta externa de compost termoplàstic a força de poliolefina lliure de halògens amb baixa emissió de fums i gasos corrosius (Z1) color vermell amb franja verda, sent la seva tensió assignada de 300/500 V. Segons UNE 21031.</t>
  </si>
  <si>
    <t>mo006</t>
  </si>
  <si>
    <t>Mà d'obra</t>
  </si>
  <si>
    <t>h</t>
  </si>
  <si>
    <t>Oficial 1ª instal·lador de xarxes i equips de detecció i seguretat.</t>
  </si>
  <si>
    <t>mo105</t>
  </si>
  <si>
    <t>Mà d'obra</t>
  </si>
  <si>
    <t>h</t>
  </si>
  <si>
    <t>Ajudant instal·lador de xarxes i equips de detecció i seguretat.</t>
  </si>
  <si>
    <t>%</t>
  </si>
  <si>
    <t>%</t>
  </si>
  <si>
    <t>Costes directos complementarios</t>
  </si>
  <si>
    <t>IOD030</t>
  </si>
  <si>
    <t>0702</t>
  </si>
  <si>
    <t>0703</t>
  </si>
  <si>
    <t>Capítol</t>
  </si>
  <si>
    <t>SENYALITZACIÓ</t>
  </si>
  <si>
    <t>EMSB31P1</t>
  </si>
  <si>
    <t>Partida</t>
  </si>
  <si>
    <t>u</t>
  </si>
  <si>
    <t>Retol seny. instal.protecció/incendis,210x210mm2,panell PVC,gruix=1mm,fotoluminiscent (A),col.adherit</t>
  </si>
  <si>
    <t>A012M000</t>
  </si>
  <si>
    <t>Mà d'obra</t>
  </si>
  <si>
    <t>h</t>
  </si>
  <si>
    <t>Oficial 1a muntador</t>
  </si>
  <si>
    <t>B09VAA00</t>
  </si>
  <si>
    <t>Material</t>
  </si>
  <si>
    <t>m</t>
  </si>
  <si>
    <t>Cinta adh.2 cares ample=25mm,resis.humitat,prod.químic,temp</t>
  </si>
  <si>
    <t>BMSB31P0</t>
  </si>
  <si>
    <t>Material</t>
  </si>
  <si>
    <t>u</t>
  </si>
  <si>
    <t>Retol seny. instal.protecció/incendis,210x210mm2,panell PVC,gruix=1mm,fotoluminiscent (A)</t>
  </si>
  <si>
    <t>EMSB31P1</t>
  </si>
  <si>
    <t>EMSB54P1</t>
  </si>
  <si>
    <t>Partida</t>
  </si>
  <si>
    <t>u</t>
  </si>
  <si>
    <t>Retol seny. sortida habitual,224x224mm2,panell PVC,gruix=1mm,fotoluminiscent (A),col.adherit</t>
  </si>
  <si>
    <t>A012M000</t>
  </si>
  <si>
    <t>Mà d'obra</t>
  </si>
  <si>
    <t>h</t>
  </si>
  <si>
    <t>Oficial 1a muntador</t>
  </si>
  <si>
    <t>B09VAA00</t>
  </si>
  <si>
    <t>Material</t>
  </si>
  <si>
    <t>m</t>
  </si>
  <si>
    <t>Cinta adh.2 cares ample=25mm,resis.humitat,prod.químic,temp</t>
  </si>
  <si>
    <t>BMSB54P0</t>
  </si>
  <si>
    <t>Material</t>
  </si>
  <si>
    <t>u</t>
  </si>
  <si>
    <t>Retol seny. sortida habitual,224x224mm2,panell PVC,gruix=1mm,fotoluminiscent (A)</t>
  </si>
  <si>
    <t>EMSB54P1</t>
  </si>
  <si>
    <t>0703</t>
  </si>
  <si>
    <t>07</t>
  </si>
  <si>
    <t>I</t>
  </si>
  <si>
    <t>N</t>
  </si>
  <si>
    <t>Capítol</t>
  </si>
  <si>
    <t>Aïllaments i impermeabilitzacions</t>
  </si>
  <si>
    <t>NI</t>
  </si>
  <si>
    <t>Capítol</t>
  </si>
  <si>
    <t>Impermeabilitzacions</t>
  </si>
  <si>
    <t>NIM</t>
  </si>
  <si>
    <t>Capítol</t>
  </si>
  <si>
    <t>Murs en contacte amb el terreny</t>
  </si>
  <si>
    <t>NIM011</t>
  </si>
  <si>
    <t>Partida</t>
  </si>
  <si>
    <t>m²</t>
  </si>
  <si>
    <t>Impermeabilització de mur de formigó en contacte amb el terreny, per la seva cara exterior, amb làmina de betum modificat amb elastòmer SBS, LBM(SBS)-30-FP, amb armadura de feltre de polièster no teixit de 160 g/m², de superfície no protegida, prèvia emprimació amb emulsió asfàltica aniònica amb càrregues tipus EB (rendiment: 0,5 kg/m²), totalment adherida al suport amb bufador, col·locada amb cavalcaments.</t>
  </si>
  <si>
    <t>Uts.</t>
  </si>
  <si>
    <t>Llargada</t>
  </si>
  <si>
    <t>Amplada</t>
  </si>
  <si>
    <t>Alçada</t>
  </si>
  <si>
    <t>Parcial</t>
  </si>
  <si>
    <t>Subtotal</t>
  </si>
  <si>
    <t>Murs contenció</t>
  </si>
  <si>
    <t>mt14iea020c</t>
  </si>
  <si>
    <t>Material</t>
  </si>
  <si>
    <t>kg</t>
  </si>
  <si>
    <t>Emulsió asfàltica aniònica amb càrregues tipus EB, segons UNE 104231.</t>
  </si>
  <si>
    <t>mt14lba010c</t>
  </si>
  <si>
    <t>Material</t>
  </si>
  <si>
    <t>m²</t>
  </si>
  <si>
    <t>Làmina de betum modificat amb elastòmer SBS, LBM(SBS)-30-FP, de 2,5 mm d'espessor, massa nominal 3 kg/m², amb armadura de feltre de polièster no teixit de 160 g/m², de superfície no protegida. Segons UNE-EN 13707.</t>
  </si>
  <si>
    <t>mo029</t>
  </si>
  <si>
    <t>Mà d'obra</t>
  </si>
  <si>
    <t>h</t>
  </si>
  <si>
    <t>Oficial 1ª aplicador de làmines impermeabilitzants.</t>
  </si>
  <si>
    <t>mo067</t>
  </si>
  <si>
    <t>Mà d'obra</t>
  </si>
  <si>
    <t>h</t>
  </si>
  <si>
    <t>Ajudant aplicador de làmines impermeabilitzants.</t>
  </si>
  <si>
    <t>%</t>
  </si>
  <si>
    <t>%</t>
  </si>
  <si>
    <t>Costes directos complementarios</t>
  </si>
  <si>
    <t>NIM011</t>
  </si>
  <si>
    <t>NIM</t>
  </si>
  <si>
    <t>NI</t>
  </si>
  <si>
    <t>ND</t>
  </si>
  <si>
    <t>Capítol</t>
  </si>
  <si>
    <t>Drenatges</t>
  </si>
  <si>
    <t>NDM</t>
  </si>
  <si>
    <t>Capítol</t>
  </si>
  <si>
    <t>Murs en contacte amb el terreny</t>
  </si>
  <si>
    <t>NDM010</t>
  </si>
  <si>
    <t>Partida</t>
  </si>
  <si>
    <t>m²</t>
  </si>
  <si>
    <t>Drenatge de mur de formigó en contacte amb el terreny, per la seva cara exterior, amb làmina drenant d'estructura nodular de polietilè d'alta densitat (PEAD/HDPE), amb nòduls de 7,5 mm d'altura, resistència a la compressió 150 kN/m² segons UNE-EN ISO 604, capacitat de drenatge 5 l/(s·m) i massa nominal 0,5 kg/m². Col·locació en obra: amb cavalcaments, amb els nòduls contra el mur prèviament impermeabilitzat, amb rosetes (2 u/m²). Inclús perfil metàl·lic per a acabat superior.</t>
  </si>
  <si>
    <t>Uts.</t>
  </si>
  <si>
    <t>Llargada</t>
  </si>
  <si>
    <t>Amplada</t>
  </si>
  <si>
    <t>Alçada</t>
  </si>
  <si>
    <t>Parcial</t>
  </si>
  <si>
    <t>Subtotal</t>
  </si>
  <si>
    <t>Murs contenció</t>
  </si>
  <si>
    <t>mt14gdo010a</t>
  </si>
  <si>
    <t>Material</t>
  </si>
  <si>
    <t>m²</t>
  </si>
  <si>
    <t>Làmina drenant d'estructura nodular de polietilè d'alta densitat (PEAD/HDPE), amb nòduls de 7,5 mm d'altura, resistència a la compressió 150 kN/m² segons UNE-EN ISO 604, capacitat de drenatge 5 l/(s·m) i massa nominal 0,5 kg/m².</t>
  </si>
  <si>
    <t>mt15pao010a</t>
  </si>
  <si>
    <t>Material</t>
  </si>
  <si>
    <t>U</t>
  </si>
  <si>
    <t>Roseta, per a fixació de làmina drenant.</t>
  </si>
  <si>
    <t>mt15pao020a</t>
  </si>
  <si>
    <t>Material</t>
  </si>
  <si>
    <t>m</t>
  </si>
  <si>
    <t>Perfil d'acabament.</t>
  </si>
  <si>
    <t>mo029</t>
  </si>
  <si>
    <t>Mà d'obra</t>
  </si>
  <si>
    <t>h</t>
  </si>
  <si>
    <t>Oficial 1ª aplicador de làmines impermeabilitzants.</t>
  </si>
  <si>
    <t>mo067</t>
  </si>
  <si>
    <t>Mà d'obra</t>
  </si>
  <si>
    <t>h</t>
  </si>
  <si>
    <t>Ajudant aplicador de làmines impermeabilitzants.</t>
  </si>
  <si>
    <t>%</t>
  </si>
  <si>
    <t>%</t>
  </si>
  <si>
    <t>Costes directos complementarios</t>
  </si>
  <si>
    <t>NDM010</t>
  </si>
  <si>
    <t>NDM</t>
  </si>
  <si>
    <t>ND</t>
  </si>
  <si>
    <t>NG</t>
  </si>
  <si>
    <t>Capítol</t>
  </si>
  <si>
    <t>Geosintètics</t>
  </si>
  <si>
    <t>NGI</t>
  </si>
  <si>
    <t>Capítol</t>
  </si>
  <si>
    <t>Fonamentacions</t>
  </si>
  <si>
    <t>NGI010</t>
  </si>
  <si>
    <t>Partida</t>
  </si>
  <si>
    <t>m²</t>
  </si>
  <si>
    <t>Capa separadora: film de polietilè de 0,05 mm d'espessor i 46 g/m² de massa superficial. Col·locació en obra: amb cavalcaments, directament sobre el terreny, sobre un emmacat o sobre una superficie de formigó.</t>
  </si>
  <si>
    <t>Uts.</t>
  </si>
  <si>
    <t>Llargada</t>
  </si>
  <si>
    <t>Amplada</t>
  </si>
  <si>
    <t>Alçada</t>
  </si>
  <si>
    <t>Parcial</t>
  </si>
  <si>
    <t>Subtotal</t>
  </si>
  <si>
    <t>Solera edifici</t>
  </si>
  <si>
    <t>Vorera perimetral zona superior</t>
  </si>
  <si>
    <t>mt16png010a</t>
  </si>
  <si>
    <t>Material</t>
  </si>
  <si>
    <t>m²</t>
  </si>
  <si>
    <t>Film de polietilè de 0,05 mm d'espessor i 46 g/m² de massa superficial.</t>
  </si>
  <si>
    <t>mo029</t>
  </si>
  <si>
    <t>Mà d'obra</t>
  </si>
  <si>
    <t>h</t>
  </si>
  <si>
    <t>Oficial 1ª aplicador de làmines impermeabilitzants.</t>
  </si>
  <si>
    <t>mo067</t>
  </si>
  <si>
    <t>Mà d'obra</t>
  </si>
  <si>
    <t>h</t>
  </si>
  <si>
    <t>Ajudant aplicador de làmines impermeabilitzants.</t>
  </si>
  <si>
    <t>%</t>
  </si>
  <si>
    <t>%</t>
  </si>
  <si>
    <t>Costes directos complementarios</t>
  </si>
  <si>
    <t>NGI010</t>
  </si>
  <si>
    <t>NGI</t>
  </si>
  <si>
    <t>NG</t>
  </si>
  <si>
    <t>N</t>
  </si>
  <si>
    <t>Q</t>
  </si>
  <si>
    <t>Capítol</t>
  </si>
  <si>
    <t>Cobertes</t>
  </si>
  <si>
    <t>QD</t>
  </si>
  <si>
    <t>Capítol</t>
  </si>
  <si>
    <t>Planes no transitables, no ventilades</t>
  </si>
  <si>
    <t>QDA</t>
  </si>
  <si>
    <t>Capítol</t>
  </si>
  <si>
    <t>Autoprotegides</t>
  </si>
  <si>
    <t>QDA012</t>
  </si>
  <si>
    <t>Partida</t>
  </si>
  <si>
    <t>m²</t>
  </si>
  <si>
    <t>Coberta plana no transitable, no ventilada, auto protegida, tipus convencional, pendent del 1% al 15%. FORMACIÓ DE PENDENTS: mitjançant vorada de tremujals, aiguafons i juntes amb mestres de maó ceràmic buit doble i capa de morter de ciment, proporcionant una resistència a compressió de 1 MPa i con una conductivitat tèrmica de 0,087 W/(mK), amb espessor medi de 10 cm; amb capa de regularització de morter de ciment, industrial, M-5 de 4 cm d'espessor, acabat remolinat; IMPERMEABILITZACIÓ: tipus bicapa, adherida, composta per una làmina de betum modificat amb elastòmer SBS, LBM(SBS)-30-FV, i una làmina de betum modificat amb elastòmer SBS, LBM(SBS)-40/G-FP, totalment adherides amb bufador, sense coincidir les seves juntes. Capa final doble autoprotegida.</t>
  </si>
  <si>
    <t>Uts.</t>
  </si>
  <si>
    <t>Llargada</t>
  </si>
  <si>
    <t>Amplada</t>
  </si>
  <si>
    <t>Alçada</t>
  </si>
  <si>
    <t>Parcial</t>
  </si>
  <si>
    <t>Subtotal</t>
  </si>
  <si>
    <t>Coberta nau</t>
  </si>
  <si>
    <t>mt04lcc010c</t>
  </si>
  <si>
    <t>Material</t>
  </si>
  <si>
    <t>U</t>
  </si>
  <si>
    <t>Maó ceràmic buit (totxana), per revestir, 29x14x9 cm, per a ús en fàbrica protegida (peça P), densitat 805 kg/m³, segons UNE-EN 771-1.</t>
  </si>
  <si>
    <t>mt01arl030a</t>
  </si>
  <si>
    <t>Material</t>
  </si>
  <si>
    <t>m³</t>
  </si>
  <si>
    <t>Argila expandida, subministrada en sacs, segons UNE-EN 13055-1.</t>
  </si>
  <si>
    <t>mt09lec020b</t>
  </si>
  <si>
    <t>Material</t>
  </si>
  <si>
    <t>m³</t>
  </si>
  <si>
    <t>Beurada de ciment CEM II/B-P 32,5 N 1/3.</t>
  </si>
  <si>
    <t>mt16pea020b</t>
  </si>
  <si>
    <t>Material</t>
  </si>
  <si>
    <t>m²</t>
  </si>
  <si>
    <t>Panell rígid de poliestirè expandit, segons UNE-EN 13163, mecanitzat lateral recte, de 20 mm d'espessor, resistència tèrmica 0,55 m²K/W, conductivitat tèrmica 0,036 W/(mK), per junta de dilatació.</t>
  </si>
  <si>
    <t>mt08aaa010a</t>
  </si>
  <si>
    <t>Material</t>
  </si>
  <si>
    <t>m³</t>
  </si>
  <si>
    <t>Aigua.</t>
  </si>
  <si>
    <t>mt09mif010ca</t>
  </si>
  <si>
    <t>Material</t>
  </si>
  <si>
    <t>t</t>
  </si>
  <si>
    <t>Morter industrial per a obra de paleta, de ciment, color gris, categoria M-5 (resistència a compressió 5 N/mm²), subministrat en sacs, segons UNE-EN 998-2.</t>
  </si>
  <si>
    <t>mt16lrc010fd</t>
  </si>
  <si>
    <t>Material</t>
  </si>
  <si>
    <t>m²</t>
  </si>
  <si>
    <t>Panell rígid de llana mineral soldable, hidrofugada, segons UNE-EN 13162, revestit amb betum asfàltic i film de polipropilè termofusible, de 50 mm d'espessor, resistència tèrmica &gt;= 1,3 m²K/W, conductivitat tèrmica 0,038 W/(mK), Euroclasse F de reacció al foc segons UNE-EN 13501-1.</t>
  </si>
  <si>
    <t>mt14lga010ca</t>
  </si>
  <si>
    <t>Material</t>
  </si>
  <si>
    <t>m²</t>
  </si>
  <si>
    <t>Làmina de betum modificat amb elastòmer SBS, LBM(SBS)-40/G-FP, de 2,5 mm d'espessor, massa nominal 4 kg/m², amb armadura de feltre de polièster reforçat i estabilitzat de 160 g/m², amb autoprotecció mineral de color gris. Segons UNE-EN 13707.</t>
  </si>
  <si>
    <t>mt14lba010a</t>
  </si>
  <si>
    <t>Material</t>
  </si>
  <si>
    <t>m²</t>
  </si>
  <si>
    <t>Làmina de betum modificat amb elastòmer SBS, LBM(SBS)-30-FV, de 2,5 mm d'espessor, massa nominal 3 kg/m², amb armadura de feltre de fibra de vidre de 60 g/m², de superfície no protegida. Segons UNE-EN 13707.</t>
  </si>
  <si>
    <t>mo020</t>
  </si>
  <si>
    <t>Mà d'obra</t>
  </si>
  <si>
    <t>h</t>
  </si>
  <si>
    <t>Oficial 1ª construcció.</t>
  </si>
  <si>
    <t>mo113</t>
  </si>
  <si>
    <t>Mà d'obra</t>
  </si>
  <si>
    <t>h</t>
  </si>
  <si>
    <t>Peó ordinari construcció.</t>
  </si>
  <si>
    <t>mo029</t>
  </si>
  <si>
    <t>Mà d'obra</t>
  </si>
  <si>
    <t>h</t>
  </si>
  <si>
    <t>Oficial 1ª aplicador de làmines impermeabilitzants.</t>
  </si>
  <si>
    <t>mo067</t>
  </si>
  <si>
    <t>Mà d'obra</t>
  </si>
  <si>
    <t>h</t>
  </si>
  <si>
    <t>Ajudant aplicador de làmines impermeabilitzants.</t>
  </si>
  <si>
    <t>mo054</t>
  </si>
  <si>
    <t>Mà d'obra</t>
  </si>
  <si>
    <t>h</t>
  </si>
  <si>
    <t>Oficial 1ª muntador d'aïllaments.</t>
  </si>
  <si>
    <t>mo101</t>
  </si>
  <si>
    <t>Mà d'obra</t>
  </si>
  <si>
    <t>h</t>
  </si>
  <si>
    <t>Ajudant muntador d'aïllaments.</t>
  </si>
  <si>
    <t>%</t>
  </si>
  <si>
    <t>%</t>
  </si>
  <si>
    <t>Costes directos complementarios</t>
  </si>
  <si>
    <t>QDA012</t>
  </si>
  <si>
    <t>QDA</t>
  </si>
  <si>
    <t>QD</t>
  </si>
  <si>
    <t>Q</t>
  </si>
  <si>
    <t>R</t>
  </si>
  <si>
    <t>Capítol</t>
  </si>
  <si>
    <t>Revestiments</t>
  </si>
  <si>
    <t>RI</t>
  </si>
  <si>
    <t>Capítol</t>
  </si>
  <si>
    <t>Pintures en paraments interiors</t>
  </si>
  <si>
    <t>RIP</t>
  </si>
  <si>
    <t>Capítol</t>
  </si>
  <si>
    <t>Plàstiques</t>
  </si>
  <si>
    <t>RIP020</t>
  </si>
  <si>
    <t>Partida</t>
  </si>
  <si>
    <t>m²</t>
  </si>
  <si>
    <t>Aplicació manual de dues mans de pintura plàstica, acabat mat, textura llisa, diluïdes amb un 15% d'aigua o sense diluir, (rendiment: 0,1 l/m² cada mà); prèvia aplicació d'una mà d'emprimació acrílica reguladora de l'absorció, sobre parament interior de formigó, vertical, de més de 3 m d'altura.</t>
  </si>
  <si>
    <t>Uts.</t>
  </si>
  <si>
    <t>Llargada</t>
  </si>
  <si>
    <t>Amplada</t>
  </si>
  <si>
    <t>Alçada</t>
  </si>
  <si>
    <t>Parcial</t>
  </si>
  <si>
    <t>Subtotal</t>
  </si>
  <si>
    <t>Interior façana</t>
  </si>
  <si>
    <t>Interior murs contenció</t>
  </si>
  <si>
    <t>mt27pfs010b</t>
  </si>
  <si>
    <t>Material</t>
  </si>
  <si>
    <t>l</t>
  </si>
  <si>
    <t>Emprimació acrílica, reguladora de l'absorció, permeable al vapor d'aigua i resistent als àlcalis, per a aplicar amb brotxa, corró o pistola.</t>
  </si>
  <si>
    <t>mt27pii070c</t>
  </si>
  <si>
    <t>Material</t>
  </si>
  <si>
    <t>l</t>
  </si>
  <si>
    <t>Pintura plàstica per a interior, a base de polímers acrílics, color blanc, acabat mat, textura llisa, de gran resistència al frec humit; per a aplicar amb brotxa, corró o pistola.</t>
  </si>
  <si>
    <t>mo038</t>
  </si>
  <si>
    <t>Mà d'obra</t>
  </si>
  <si>
    <t>h</t>
  </si>
  <si>
    <t>Oficial 1ª pintor.</t>
  </si>
  <si>
    <t>mo076</t>
  </si>
  <si>
    <t>Mà d'obra</t>
  </si>
  <si>
    <t>h</t>
  </si>
  <si>
    <t>Ajudant pintor.</t>
  </si>
  <si>
    <t>%</t>
  </si>
  <si>
    <t>%</t>
  </si>
  <si>
    <t>Costes directos complementarios</t>
  </si>
  <si>
    <t>RIP020</t>
  </si>
  <si>
    <t>RIP</t>
  </si>
  <si>
    <t>RI</t>
  </si>
  <si>
    <t>RN</t>
  </si>
  <si>
    <t>Capítol</t>
  </si>
  <si>
    <t>Pintures sobre suport metàl·lic</t>
  </si>
  <si>
    <t>IOR040</t>
  </si>
  <si>
    <t>Partida</t>
  </si>
  <si>
    <t>m²</t>
  </si>
  <si>
    <t>Protecció passiva contra incendis d'estructura metàl·lica, mitjançant l'aplicació de pintura intumescent, en emulsió aquosa monocomponent, color a escollir, acabat mat llis, fins a formar un gruix mínim de pel·lícula seca de 637 micres i aconseguir una resistència al foc de R30 minuts.</t>
  </si>
  <si>
    <t>Uts.</t>
  </si>
  <si>
    <t>Llargada</t>
  </si>
  <si>
    <t>Amplada</t>
  </si>
  <si>
    <t>Alçada</t>
  </si>
  <si>
    <t>Parcial</t>
  </si>
  <si>
    <t>Subtotal</t>
  </si>
  <si>
    <t>Pilars</t>
  </si>
  <si>
    <t>Bigues i corretges altell 1</t>
  </si>
  <si>
    <t>Bigues i corretges altell 2</t>
  </si>
  <si>
    <t>Bigues i corretges coberta</t>
  </si>
  <si>
    <t>mt27pwj010a</t>
  </si>
  <si>
    <t>Material</t>
  </si>
  <si>
    <t>kg</t>
  </si>
  <si>
    <t>Pintura intumescent, en emulsió aquosa monocomponent, color blanc, acabat mat llis, per a aplicar amb pistola d'alta pressió o amb brotxa.</t>
  </si>
  <si>
    <t>mo038</t>
  </si>
  <si>
    <t>Mà d'obra</t>
  </si>
  <si>
    <t>h</t>
  </si>
  <si>
    <t>Oficial 1ª pintor.</t>
  </si>
  <si>
    <t>mo076</t>
  </si>
  <si>
    <t>Mà d'obra</t>
  </si>
  <si>
    <t>h</t>
  </si>
  <si>
    <t>Ajudant pintor.</t>
  </si>
  <si>
    <t>%</t>
  </si>
  <si>
    <t>%</t>
  </si>
  <si>
    <t>Costes directos complementarios</t>
  </si>
  <si>
    <t>IOR040</t>
  </si>
  <si>
    <t>RN</t>
  </si>
  <si>
    <t>R</t>
  </si>
  <si>
    <t>U</t>
  </si>
  <si>
    <t>Capítol</t>
  </si>
  <si>
    <t>Urbanització interior de la parcel·la</t>
  </si>
  <si>
    <t>UA</t>
  </si>
  <si>
    <t>Capítol</t>
  </si>
  <si>
    <t>Clavegueram</t>
  </si>
  <si>
    <t>UAI</t>
  </si>
  <si>
    <t>Capítol</t>
  </si>
  <si>
    <t>Buneres i embornals urbans</t>
  </si>
  <si>
    <t>UAI011</t>
  </si>
  <si>
    <t>Partida</t>
  </si>
  <si>
    <t>m</t>
  </si>
  <si>
    <t>Canaleta prefabricada de polipropilè, en trams de 1000 mm de longitud, 130 mm d'amplada i 52 mm d'altura, amb reixeta passarel·la d'acer galvanitzat classe A-15 segons UNE-EN 1433 i UNE-EN 124, sobre solera de formigó en massa HM-20/B/20/X0 de 10 cm de gruix; prèvia excavació amb mitjans manuals i posterior reomplert de l'extradós amb formigó. Inclús peces especials i sifó en línia registrable.</t>
  </si>
  <si>
    <t>Uts.</t>
  </si>
  <si>
    <t>Llargada</t>
  </si>
  <si>
    <t>Amplada</t>
  </si>
  <si>
    <t>Alçada</t>
  </si>
  <si>
    <t>Parcial</t>
  </si>
  <si>
    <t>Subtotal</t>
  </si>
  <si>
    <t>Zona superior</t>
  </si>
  <si>
    <t>mt10hmf010tLb</t>
  </si>
  <si>
    <t>Material</t>
  </si>
  <si>
    <t>m³</t>
  </si>
  <si>
    <t>Formigó HM-20/B/20/X0, fabricat en central.</t>
  </si>
  <si>
    <t>mt11cap010aa</t>
  </si>
  <si>
    <t>Material</t>
  </si>
  <si>
    <t>m</t>
  </si>
  <si>
    <t>Canaleta prefabricada de polipropilè, en trams de 1000 mm de longitud, 130 mm d'amplada i 52 mm d'altura, amb reixeta passarel·la d'acer galvanitzat classe A-15 segons UNE-EN 1433 i UNE-EN 124, inclús peces especials.</t>
  </si>
  <si>
    <t>mt11pvj020b</t>
  </si>
  <si>
    <t>Material</t>
  </si>
  <si>
    <t>U</t>
  </si>
  <si>
    <t>Sifó en línia de PVC, "JIMTEN", color gris, registrable, amb unió mascle/femella, de 110 mm de diàmetre.</t>
  </si>
  <si>
    <t>mo041</t>
  </si>
  <si>
    <t>Mà d'obra</t>
  </si>
  <si>
    <t>h</t>
  </si>
  <si>
    <t>Oficial 1ª construcció d'obra civil.</t>
  </si>
  <si>
    <t>mo087</t>
  </si>
  <si>
    <t>Mà d'obra</t>
  </si>
  <si>
    <t>h</t>
  </si>
  <si>
    <t>Ajudant construcció d'obra civil.</t>
  </si>
  <si>
    <t>%</t>
  </si>
  <si>
    <t>%</t>
  </si>
  <si>
    <t>Costes directos complementarios</t>
  </si>
  <si>
    <t>UAI011</t>
  </si>
  <si>
    <t>UAI</t>
  </si>
  <si>
    <t>UA</t>
  </si>
  <si>
    <t>U</t>
  </si>
  <si>
    <t>G</t>
  </si>
  <si>
    <t>Capítol</t>
  </si>
  <si>
    <t>Gestió de residus</t>
  </si>
  <si>
    <t>GT</t>
  </si>
  <si>
    <t>Capítol</t>
  </si>
  <si>
    <t>Gestió de terres</t>
  </si>
  <si>
    <t>GTA</t>
  </si>
  <si>
    <t>Capítol</t>
  </si>
  <si>
    <t>Transport de terres</t>
  </si>
  <si>
    <t>GTA020</t>
  </si>
  <si>
    <t>Partida</t>
  </si>
  <si>
    <t>m³</t>
  </si>
  <si>
    <t>Transport de terres amb camió dels productes procedents de l'excavació de qualsevol tipus de terreny a abocador específic, instal·lació de tractament de residus de construcció i demolició externa a l'obra o centre de valorització o eliminació de residus, situat a una distància màxima de 10 km.</t>
  </si>
  <si>
    <t>Uts.</t>
  </si>
  <si>
    <t>Llargada</t>
  </si>
  <si>
    <t>Amplada</t>
  </si>
  <si>
    <t>Alçada</t>
  </si>
  <si>
    <t>Parcial</t>
  </si>
  <si>
    <t>Subtotal</t>
  </si>
  <si>
    <t>Desmunt terreny</t>
  </si>
  <si>
    <t>Excavació cel obert</t>
  </si>
  <si>
    <t>Excavació fonamentacions</t>
  </si>
  <si>
    <t>25% Esponjament</t>
  </si>
  <si>
    <t>mq04cab010c</t>
  </si>
  <si>
    <t>Maquinària</t>
  </si>
  <si>
    <t>h</t>
  </si>
  <si>
    <t>Camió basculant de 12 t de càrrega, de 162 kW.</t>
  </si>
  <si>
    <t>%</t>
  </si>
  <si>
    <t>%</t>
  </si>
  <si>
    <t>Costes directos complementarios</t>
  </si>
  <si>
    <t>GTA020</t>
  </si>
  <si>
    <t>GTA</t>
  </si>
  <si>
    <t>GTB</t>
  </si>
  <si>
    <t>Capítol</t>
  </si>
  <si>
    <t>Lliurament de terres a gestor autoritzat</t>
  </si>
  <si>
    <t>GTB020</t>
  </si>
  <si>
    <t>Partida</t>
  </si>
  <si>
    <t>m³</t>
  </si>
  <si>
    <t>Cànon d'abocament per lliurament de terres procedents de l'excavació, en abocador específic, instal·lació de tractament de residus de construcció i demolició externa a l'obra o centre de valorització o eliminació de residus.</t>
  </si>
  <si>
    <t>Uts.</t>
  </si>
  <si>
    <t>Llargada</t>
  </si>
  <si>
    <t>Amplada</t>
  </si>
  <si>
    <t>Alçada</t>
  </si>
  <si>
    <t>Parcial</t>
  </si>
  <si>
    <t>Subtotal</t>
  </si>
  <si>
    <t>Desmunt terreny</t>
  </si>
  <si>
    <t>Excavació cel obert</t>
  </si>
  <si>
    <t>Excavació fonamentacions</t>
  </si>
  <si>
    <t>25% Esponjament</t>
  </si>
  <si>
    <t>mq04res035a</t>
  </si>
  <si>
    <t>Maquinària</t>
  </si>
  <si>
    <t>m³</t>
  </si>
  <si>
    <t>Cànon d'abocament per lliurament de terres procedents de l'excavació, en abocador específic, instal·lació de tractament de residus de construcció i demolició externa a l'obra o centre de valorització o eliminació de residus.</t>
  </si>
  <si>
    <t>%</t>
  </si>
  <si>
    <t>%</t>
  </si>
  <si>
    <t>Costes directos complementarios</t>
  </si>
  <si>
    <t>GTB020</t>
  </si>
  <si>
    <t>GTB</t>
  </si>
  <si>
    <t>GT</t>
  </si>
  <si>
    <t>GR</t>
  </si>
  <si>
    <t>Capítol</t>
  </si>
  <si>
    <t>Gestió de residus inertes</t>
  </si>
  <si>
    <t>GRA</t>
  </si>
  <si>
    <t>Capítol</t>
  </si>
  <si>
    <t>Transport de residus inertes</t>
  </si>
  <si>
    <t>GRA020</t>
  </si>
  <si>
    <t>Partida</t>
  </si>
  <si>
    <t>m³</t>
  </si>
  <si>
    <t>Transport amb camió de residus inertes de formigons, morters i prefabricats produïts en obres de construcció i/o demolició, a abocador específic, instal·lació de tractament de residus de construcció i demolició externa a l'obra o centre de valorització o eliminació de residus, situat a 10 km de distància.</t>
  </si>
  <si>
    <t>Uts.</t>
  </si>
  <si>
    <t>Llargada</t>
  </si>
  <si>
    <t>Amplada</t>
  </si>
  <si>
    <t>Alçada</t>
  </si>
  <si>
    <t>Parcial</t>
  </si>
  <si>
    <t>Subtotal</t>
  </si>
  <si>
    <t>Mur contenció</t>
  </si>
  <si>
    <t>25% Esponjament</t>
  </si>
  <si>
    <t>mq04cap020aa</t>
  </si>
  <si>
    <t>Maquinària</t>
  </si>
  <si>
    <t>h</t>
  </si>
  <si>
    <t>Camió de transport de 10 t amb una capacitat de 8 m³ i 2 eixos.</t>
  </si>
  <si>
    <t>%</t>
  </si>
  <si>
    <t>%</t>
  </si>
  <si>
    <t>Costes directos complementarios</t>
  </si>
  <si>
    <t>GRA020</t>
  </si>
  <si>
    <t>GRA</t>
  </si>
  <si>
    <t>GRB</t>
  </si>
  <si>
    <t>Capítol</t>
  </si>
  <si>
    <t>Lliurament de residus inerts a gestor autoritzat</t>
  </si>
  <si>
    <t>GRB020</t>
  </si>
  <si>
    <t>Partida</t>
  </si>
  <si>
    <t>m³</t>
  </si>
  <si>
    <t>Cànon d'abocament per lliurament de residus inertes de formigons, morters i prefabricats produïts a obres de construcció i/o demolició, en abocador específic, instal·lació de tractament de residus de construcció i demolició externa a l'obra o centre de valorització o eliminació de residus.</t>
  </si>
  <si>
    <t>Uts.</t>
  </si>
  <si>
    <t>Llargada</t>
  </si>
  <si>
    <t>Amplada</t>
  </si>
  <si>
    <t>Alçada</t>
  </si>
  <si>
    <t>Parcial</t>
  </si>
  <si>
    <t>Subtotal</t>
  </si>
  <si>
    <t>Mur contenció</t>
  </si>
  <si>
    <t>25% Esponjament</t>
  </si>
  <si>
    <t>mq04res025aa</t>
  </si>
  <si>
    <t>Maquinària</t>
  </si>
  <si>
    <t>m³</t>
  </si>
  <si>
    <t>Cànon d'abocament per lliurament de residus inerts de formigons, morters i prefabricats, produïts a obres de construcció i/o demolició, en abocador específic, instal·lació de tractament de residus de construcció i demolició externa a l'obra o centre de valorització o eliminació de residus.</t>
  </si>
  <si>
    <t>%</t>
  </si>
  <si>
    <t>%</t>
  </si>
  <si>
    <t>Costes directos complementarios</t>
  </si>
  <si>
    <t>GRB020</t>
  </si>
  <si>
    <t>GRB</t>
  </si>
  <si>
    <t>GR</t>
  </si>
  <si>
    <t>G</t>
  </si>
  <si>
    <t>X</t>
  </si>
  <si>
    <t>Capítol</t>
  </si>
  <si>
    <t>Control de qualitat i assajos</t>
  </si>
  <si>
    <t>XU</t>
  </si>
  <si>
    <t>Capítol</t>
  </si>
  <si>
    <t>Conjunt de proves i assajos</t>
  </si>
  <si>
    <t>XUX</t>
  </si>
  <si>
    <t>Capítol</t>
  </si>
  <si>
    <t>Conjunt de proves i assajos</t>
  </si>
  <si>
    <t>XUX010</t>
  </si>
  <si>
    <t>Partida</t>
  </si>
  <si>
    <t>U</t>
  </si>
  <si>
    <t>Conjunt de proves i assajos, realitzats per un laboratori acreditat a l'àrea tècnica corresponent, necessaris per al compliment de la normativa vigent.</t>
  </si>
  <si>
    <t>XUX</t>
  </si>
  <si>
    <t>XU</t>
  </si>
  <si>
    <t>X</t>
  </si>
  <si>
    <t>Y</t>
  </si>
  <si>
    <t>Capítol</t>
  </si>
  <si>
    <t>Seguretat i salut</t>
  </si>
  <si>
    <t>PASS</t>
  </si>
  <si>
    <t>Partida</t>
  </si>
  <si>
    <t>U</t>
  </si>
  <si>
    <t>Partida alçada per a la realització i compliment del pla de seguretat i salut específic.</t>
  </si>
  <si>
    <t>Y</t>
  </si>
  <si>
    <t>PBE NAU BRIGADA CREIXELL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</si>
</sst>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rgb="FF000000"/>
      <name val="Verdana"/>
      <family val="2"/>
    </font>
    <font>
      <b/>
      <sz val="9.9499999999999993"/>
      <color rgb="FF000000"/>
      <name val="Arial"/>
      <family val="2"/>
    </font>
    <font>
      <sz val="8"/>
      <color rgb="FF000000"/>
      <name val="Arial"/>
      <family val="2"/>
    </font>
    <font>
      <b/>
      <sz val="9"/>
      <color rgb="FF000000"/>
      <name val="Arial"/>
      <family val="2"/>
    </font>
    <font>
      <b/>
      <sz val="8"/>
      <color rgb="FF000000"/>
      <name val="Arial"/>
      <family val="2"/>
    </font>
    <font>
      <sz val="8"/>
      <color rgb="FF808080"/>
      <name val="Arial"/>
      <family val="2"/>
    </font>
    <font>
      <sz val="8"/>
      <color rgb="FF101010"/>
      <name val="Arial"/>
      <family val="2"/>
    </font>
  </fonts>
  <fills count="7">
    <fill>
      <patternFill patternType="none"/>
    </fill>
    <fill>
      <patternFill patternType="gray125"/>
    </fill>
    <fill>
      <patternFill patternType="solid">
        <fgColor rgb="FFDFFFBF"/>
      </patternFill>
    </fill>
    <fill>
      <patternFill patternType="solid">
        <fgColor rgb="FF269900"/>
      </patternFill>
    </fill>
    <fill>
      <patternFill patternType="solid">
        <fgColor rgb="FF3FB219"/>
      </patternFill>
    </fill>
    <fill>
      <patternFill patternType="solid">
        <fgColor rgb="FF58CB32"/>
      </patternFill>
    </fill>
    <fill>
      <patternFill patternType="solid">
        <fgColor rgb="FF71E44B"/>
      </patternFill>
    </fill>
  </fills>
  <borders count="6">
    <border>
      <left/>
      <right/>
      <top/>
      <bottom/>
      <diagonal/>
    </border>
    <border>
      <left/>
      <right/>
      <top/>
      <bottom style="thin">
        <color rgb="FF000000"/>
      </bottom>
      <diagonal/>
    </border>
    <border>
      <left/>
      <right/>
      <top style="thin">
        <color rgb="FF000000"/>
      </top>
      <bottom/>
      <diagonal/>
    </border>
    <border>
      <left/>
      <right/>
      <top/>
      <bottom style="thin">
        <color rgb="FF808080"/>
      </bottom>
      <diagonal/>
    </border>
    <border>
      <left/>
      <right/>
      <top style="thin">
        <color rgb="FF808080"/>
      </top>
      <bottom/>
      <diagonal/>
    </border>
    <border>
      <left/>
      <right/>
      <top style="thin">
        <color rgb="FF000000"/>
      </top>
      <bottom style="thin">
        <color rgb="FF000000"/>
      </bottom>
      <diagonal/>
    </border>
  </borders>
  <cellStyleXfs count="1">
    <xf numFmtId="0" fontId="0" fillId="0" borderId="0"/>
  </cellStyleXfs>
  <cellXfs count="87">
    <xf numFmtId="0" fontId="0" fillId="0" borderId="0" xfId="0" applyAlignment="1">
      <alignment horizontal="left" vertical="center"/>
    </xf>
    <xf numFmtId="0" fontId="1" fillId="2" borderId="0" xfId="0" applyFont="1" applyFill="1" applyAlignment="1">
      <alignment horizontal="right" vertical="top" wrapText="1"/>
    </xf>
    <xf numFmtId="0" fontId="0" fillId="2" borderId="0" xfId="0" applyFill="1" applyAlignment="1">
      <alignment horizontal="left" vertical="top" wrapText="1"/>
    </xf>
    <xf numFmtId="0" fontId="2" fillId="0" borderId="0" xfId="0" applyFont="1" applyAlignment="1">
      <alignment horizontal="right" vertical="top" wrapText="1"/>
    </xf>
    <xf numFmtId="0" fontId="2" fillId="2" borderId="0" xfId="0" applyFont="1" applyFill="1" applyAlignment="1">
      <alignment horizontal="righ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3"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3" fillId="2" borderId="1" xfId="0" applyFont="1" applyFill="1" applyBorder="1" applyAlignment="1">
      <alignment horizontal="right" vertical="top" wrapText="1"/>
    </xf>
    <xf numFmtId="0" fontId="4" fillId="0" borderId="0" xfId="0" applyFont="1" applyAlignment="1">
      <alignment horizontal="left" vertical="top" wrapText="1"/>
    </xf>
    <xf numFmtId="0" fontId="4" fillId="3" borderId="2" xfId="0" applyFont="1" applyFill="1" applyBorder="1" applyAlignment="1">
      <alignment horizontal="left" vertical="top" wrapText="1"/>
    </xf>
    <xf numFmtId="0" fontId="0" fillId="3" borderId="2" xfId="0" applyFill="1" applyBorder="1" applyAlignment="1">
      <alignment horizontal="left" vertical="top" wrapText="1"/>
    </xf>
    <xf numFmtId="4" fontId="4" fillId="3" borderId="2" xfId="0" applyNumberFormat="1" applyFont="1" applyFill="1" applyBorder="1" applyAlignment="1">
      <alignment horizontal="right" vertical="top" wrapText="1"/>
    </xf>
    <xf numFmtId="0" fontId="4" fillId="4" borderId="0" xfId="0" applyFont="1" applyFill="1" applyAlignment="1">
      <alignment horizontal="left" vertical="top" wrapText="1"/>
    </xf>
    <xf numFmtId="0" fontId="0" fillId="4" borderId="0" xfId="0" applyFill="1" applyAlignment="1">
      <alignment horizontal="left" vertical="top" wrapText="1"/>
    </xf>
    <xf numFmtId="4" fontId="4" fillId="4" borderId="0" xfId="0" applyNumberFormat="1" applyFont="1" applyFill="1" applyAlignment="1">
      <alignment horizontal="right" vertical="top" wrapText="1"/>
    </xf>
    <xf numFmtId="0" fontId="4" fillId="5" borderId="0" xfId="0" applyFont="1" applyFill="1" applyAlignment="1">
      <alignment horizontal="left" vertical="top" wrapText="1"/>
    </xf>
    <xf numFmtId="0" fontId="0" fillId="5" borderId="0" xfId="0" applyFill="1" applyAlignment="1">
      <alignment horizontal="left" vertical="top" wrapText="1"/>
    </xf>
    <xf numFmtId="4" fontId="4" fillId="5" borderId="0" xfId="0" applyNumberFormat="1" applyFont="1" applyFill="1" applyAlignment="1">
      <alignment horizontal="right" vertical="top" wrapText="1"/>
    </xf>
    <xf numFmtId="0" fontId="4" fillId="6" borderId="0" xfId="0" applyFont="1" applyFill="1" applyAlignment="1">
      <alignment horizontal="left" vertical="top" wrapText="1"/>
    </xf>
    <xf numFmtId="0" fontId="0" fillId="6" borderId="0" xfId="0" applyFill="1" applyAlignment="1">
      <alignment horizontal="left" vertical="top" wrapText="1"/>
    </xf>
    <xf numFmtId="4" fontId="4" fillId="6" borderId="0" xfId="0" applyNumberFormat="1" applyFont="1" applyFill="1" applyAlignment="1">
      <alignment horizontal="right" vertical="top" wrapText="1"/>
    </xf>
    <xf numFmtId="164" fontId="2" fillId="0" borderId="0" xfId="0" applyNumberFormat="1" applyFont="1" applyAlignment="1">
      <alignment horizontal="right" vertical="top" wrapText="1"/>
    </xf>
    <xf numFmtId="4" fontId="2" fillId="0" borderId="0" xfId="0" applyNumberFormat="1" applyFont="1" applyAlignment="1">
      <alignment horizontal="right" vertical="top" wrapText="1"/>
    </xf>
    <xf numFmtId="0" fontId="0" fillId="0" borderId="0" xfId="0" applyAlignment="1">
      <alignment horizontal="center" vertical="center" wrapText="1"/>
    </xf>
    <xf numFmtId="0" fontId="5" fillId="0" borderId="3" xfId="0" applyFont="1" applyBorder="1" applyAlignment="1">
      <alignment horizontal="left" vertical="top" wrapText="1"/>
    </xf>
    <xf numFmtId="0" fontId="5" fillId="0" borderId="0" xfId="0" applyFont="1" applyAlignment="1">
      <alignment horizontal="right" vertical="top" wrapText="1"/>
    </xf>
    <xf numFmtId="0" fontId="5" fillId="0" borderId="3" xfId="0" applyFont="1" applyBorder="1" applyAlignment="1">
      <alignment horizontal="right" vertical="top" wrapText="1"/>
    </xf>
    <xf numFmtId="0" fontId="5" fillId="0" borderId="0" xfId="0" applyFont="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right" vertical="top" wrapText="1"/>
    </xf>
    <xf numFmtId="164" fontId="2" fillId="0" borderId="4" xfId="0" applyNumberFormat="1" applyFont="1" applyBorder="1" applyAlignment="1">
      <alignment horizontal="right" vertical="top" wrapText="1"/>
    </xf>
    <xf numFmtId="164" fontId="5" fillId="0" borderId="0" xfId="0" applyNumberFormat="1" applyFont="1" applyAlignment="1">
      <alignment horizontal="right" vertical="top" wrapText="1"/>
    </xf>
    <xf numFmtId="164" fontId="5" fillId="0" borderId="4" xfId="0" applyNumberFormat="1" applyFont="1" applyBorder="1" applyAlignment="1">
      <alignment horizontal="right" vertical="top" wrapText="1"/>
    </xf>
    <xf numFmtId="164" fontId="6" fillId="0" borderId="0" xfId="0" applyNumberFormat="1" applyFont="1" applyAlignment="1">
      <alignment horizontal="right" vertical="top" wrapText="1"/>
    </xf>
    <xf numFmtId="164" fontId="6" fillId="0" borderId="4" xfId="0" applyNumberFormat="1" applyFont="1" applyBorder="1" applyAlignment="1">
      <alignment horizontal="right" vertical="top" wrapText="1"/>
    </xf>
    <xf numFmtId="0" fontId="0" fillId="0" borderId="1" xfId="0" applyBorder="1" applyAlignment="1">
      <alignment horizontal="center" vertical="center" wrapText="1"/>
    </xf>
    <xf numFmtId="0" fontId="4" fillId="0" borderId="1" xfId="0" applyFont="1" applyBorder="1" applyAlignment="1">
      <alignment horizontal="left" vertical="top" wrapText="1"/>
    </xf>
    <xf numFmtId="164" fontId="4" fillId="0" borderId="1" xfId="0" applyNumberFormat="1" applyFont="1" applyBorder="1" applyAlignment="1">
      <alignment horizontal="right" vertical="top" wrapText="1"/>
    </xf>
    <xf numFmtId="4" fontId="4" fillId="0" borderId="1" xfId="0" applyNumberFormat="1" applyFont="1" applyBorder="1" applyAlignment="1">
      <alignment horizontal="right" vertical="top" wrapText="1"/>
    </xf>
    <xf numFmtId="0" fontId="0" fillId="0" borderId="5" xfId="0" applyBorder="1" applyAlignment="1">
      <alignment horizontal="center" vertical="center" wrapText="1"/>
    </xf>
    <xf numFmtId="0" fontId="4" fillId="6" borderId="5" xfId="0" applyFont="1" applyFill="1" applyBorder="1" applyAlignment="1">
      <alignment horizontal="left" vertical="top" wrapText="1"/>
    </xf>
    <xf numFmtId="0" fontId="0" fillId="6" borderId="5" xfId="0" applyFill="1" applyBorder="1" applyAlignment="1">
      <alignment horizontal="left" vertical="top" wrapText="1"/>
    </xf>
    <xf numFmtId="4" fontId="4" fillId="6" borderId="5" xfId="0" applyNumberFormat="1" applyFont="1" applyFill="1" applyBorder="1" applyAlignment="1">
      <alignment horizontal="right" vertical="top" wrapText="1"/>
    </xf>
    <xf numFmtId="0" fontId="4" fillId="5" borderId="5" xfId="0" applyFont="1" applyFill="1" applyBorder="1" applyAlignment="1">
      <alignment horizontal="left" vertical="top" wrapText="1"/>
    </xf>
    <xf numFmtId="0" fontId="0" fillId="5" borderId="5" xfId="0" applyFill="1" applyBorder="1" applyAlignment="1">
      <alignment horizontal="left" vertical="top" wrapText="1"/>
    </xf>
    <xf numFmtId="4" fontId="4" fillId="5" borderId="5" xfId="0" applyNumberFormat="1" applyFont="1" applyFill="1" applyBorder="1" applyAlignment="1">
      <alignment horizontal="right" vertical="top" wrapText="1"/>
    </xf>
    <xf numFmtId="0" fontId="4" fillId="4" borderId="5" xfId="0" applyFont="1" applyFill="1" applyBorder="1" applyAlignment="1">
      <alignment horizontal="left" vertical="top" wrapText="1"/>
    </xf>
    <xf numFmtId="0" fontId="0" fillId="4" borderId="5" xfId="0" applyFill="1" applyBorder="1" applyAlignment="1">
      <alignment horizontal="left" vertical="top" wrapText="1"/>
    </xf>
    <xf numFmtId="4" fontId="4" fillId="4" borderId="5" xfId="0" applyNumberFormat="1" applyFont="1" applyFill="1" applyBorder="1" applyAlignment="1">
      <alignment horizontal="right" vertical="top" wrapText="1"/>
    </xf>
    <xf numFmtId="0" fontId="4" fillId="4" borderId="2" xfId="0" applyFont="1" applyFill="1" applyBorder="1" applyAlignment="1">
      <alignment horizontal="left" vertical="top" wrapText="1"/>
    </xf>
    <xf numFmtId="0" fontId="0" fillId="4" borderId="2" xfId="0" applyFill="1" applyBorder="1" applyAlignment="1">
      <alignment horizontal="left" vertical="top" wrapText="1"/>
    </xf>
    <xf numFmtId="4" fontId="4" fillId="4" borderId="2" xfId="0" applyNumberFormat="1" applyFont="1" applyFill="1" applyBorder="1" applyAlignment="1">
      <alignment horizontal="right" vertical="top" wrapText="1"/>
    </xf>
    <xf numFmtId="0" fontId="4" fillId="6" borderId="2" xfId="0" applyFont="1" applyFill="1" applyBorder="1" applyAlignment="1">
      <alignment horizontal="left" vertical="top" wrapText="1"/>
    </xf>
    <xf numFmtId="0" fontId="0" fillId="6" borderId="2" xfId="0" applyFill="1" applyBorder="1" applyAlignment="1">
      <alignment horizontal="left" vertical="top" wrapText="1"/>
    </xf>
    <xf numFmtId="4" fontId="4" fillId="6" borderId="2" xfId="0" applyNumberFormat="1" applyFont="1" applyFill="1" applyBorder="1" applyAlignment="1">
      <alignment horizontal="right" vertical="top" wrapText="1"/>
    </xf>
    <xf numFmtId="0" fontId="0" fillId="0" borderId="4" xfId="0" applyBorder="1" applyAlignment="1">
      <alignment horizontal="center" vertical="center" wrapText="1"/>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164" fontId="2" fillId="0" borderId="2" xfId="0" applyNumberFormat="1" applyFont="1" applyBorder="1" applyAlignment="1">
      <alignment horizontal="right" vertical="top" wrapText="1"/>
    </xf>
    <xf numFmtId="4" fontId="2" fillId="0" borderId="2" xfId="0" applyNumberFormat="1" applyFont="1" applyBorder="1" applyAlignment="1">
      <alignment horizontal="right" vertical="top" wrapText="1"/>
    </xf>
    <xf numFmtId="0" fontId="4" fillId="5" borderId="2" xfId="0" applyFont="1" applyFill="1" applyBorder="1" applyAlignment="1">
      <alignment horizontal="left" vertical="top" wrapText="1"/>
    </xf>
    <xf numFmtId="0" fontId="0" fillId="5" borderId="2" xfId="0" applyFill="1" applyBorder="1" applyAlignment="1">
      <alignment horizontal="left" vertical="top" wrapText="1"/>
    </xf>
    <xf numFmtId="4" fontId="4" fillId="5" borderId="2" xfId="0" applyNumberFormat="1" applyFont="1" applyFill="1" applyBorder="1" applyAlignment="1">
      <alignment horizontal="right" vertical="top" wrapText="1"/>
    </xf>
    <xf numFmtId="0" fontId="4" fillId="6" borderId="1" xfId="0" applyFont="1" applyFill="1" applyBorder="1" applyAlignment="1">
      <alignment horizontal="left" vertical="top" wrapText="1"/>
    </xf>
    <xf numFmtId="0" fontId="0" fillId="6" borderId="1" xfId="0" applyFill="1" applyBorder="1" applyAlignment="1">
      <alignment horizontal="left" vertical="top" wrapText="1"/>
    </xf>
    <xf numFmtId="4" fontId="4" fillId="6" borderId="1" xfId="0" applyNumberFormat="1" applyFont="1" applyFill="1" applyBorder="1" applyAlignment="1">
      <alignment horizontal="right" vertical="top" wrapText="1"/>
    </xf>
    <xf numFmtId="0" fontId="4" fillId="5" borderId="1" xfId="0" applyFont="1" applyFill="1" applyBorder="1" applyAlignment="1">
      <alignment horizontal="left" vertical="top" wrapText="1"/>
    </xf>
    <xf numFmtId="0" fontId="0" fillId="5" borderId="1" xfId="0" applyFill="1" applyBorder="1" applyAlignment="1">
      <alignment horizontal="left" vertical="top" wrapText="1"/>
    </xf>
    <xf numFmtId="4" fontId="4" fillId="5" borderId="1" xfId="0" applyNumberFormat="1" applyFont="1" applyFill="1" applyBorder="1" applyAlignment="1">
      <alignment horizontal="right" vertical="top"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wrapText="1"/>
    </xf>
    <xf numFmtId="4" fontId="4" fillId="4" borderId="1" xfId="0" applyNumberFormat="1" applyFont="1" applyFill="1" applyBorder="1" applyAlignment="1">
      <alignment horizontal="right" vertical="top" wrapText="1"/>
    </xf>
    <xf numFmtId="0" fontId="4" fillId="3" borderId="5" xfId="0" applyFont="1" applyFill="1" applyBorder="1" applyAlignment="1">
      <alignment horizontal="left" vertical="top" wrapText="1"/>
    </xf>
    <xf numFmtId="0" fontId="0" fillId="3" borderId="5" xfId="0" applyFill="1" applyBorder="1" applyAlignment="1">
      <alignment horizontal="left" vertical="top" wrapText="1"/>
    </xf>
    <xf numFmtId="4" fontId="4" fillId="3" borderId="5" xfId="0" applyNumberFormat="1" applyFont="1" applyFill="1" applyBorder="1" applyAlignment="1">
      <alignment horizontal="right" vertical="top" wrapText="1"/>
    </xf>
    <xf numFmtId="0" fontId="1" fillId="2" borderId="0" xfId="0" applyFont="1" applyFill="1" applyAlignment="1">
      <alignment horizontal="left" vertical="top" wrapText="1"/>
    </xf>
    <xf numFmtId="0" fontId="4" fillId="3" borderId="2" xfId="0" applyFont="1" applyFill="1" applyBorder="1" applyAlignment="1">
      <alignment horizontal="justify" vertical="top" wrapText="1"/>
    </xf>
    <xf numFmtId="0" fontId="4" fillId="4" borderId="0" xfId="0" applyFont="1" applyFill="1" applyAlignment="1">
      <alignment horizontal="justify" vertical="top" wrapText="1"/>
    </xf>
    <xf numFmtId="0" fontId="4" fillId="5" borderId="0" xfId="0" applyFont="1" applyFill="1" applyAlignment="1">
      <alignment horizontal="justify" vertical="top" wrapText="1"/>
    </xf>
    <xf numFmtId="0" fontId="4" fillId="6" borderId="0" xfId="0" applyFont="1" applyFill="1" applyAlignment="1">
      <alignment horizontal="justify" vertical="top" wrapText="1"/>
    </xf>
    <xf numFmtId="0" fontId="2" fillId="0" borderId="0" xfId="0" applyFont="1" applyAlignment="1">
      <alignment horizontal="justify" vertical="top" wrapText="1"/>
    </xf>
    <xf numFmtId="0" fontId="4" fillId="4" borderId="2" xfId="0" applyFont="1" applyFill="1" applyBorder="1" applyAlignment="1">
      <alignment horizontal="justify" vertical="top" wrapText="1"/>
    </xf>
    <xf numFmtId="0" fontId="4" fillId="6" borderId="2" xfId="0" applyFont="1" applyFill="1" applyBorder="1" applyAlignment="1">
      <alignment horizontal="justify" vertical="top" wrapText="1"/>
    </xf>
    <xf numFmtId="0" fontId="2" fillId="0" borderId="2" xfId="0" applyFont="1" applyBorder="1" applyAlignment="1">
      <alignment horizontal="justify" vertical="top" wrapText="1"/>
    </xf>
    <xf numFmtId="0" fontId="4" fillId="5" borderId="2" xfId="0" applyFont="1" applyFill="1" applyBorder="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23"/>
  <sheetViews>
    <sheetView tabSelected="1" view="pageLayout" topLeftCell="A64" workbookViewId="0"/>
  </sheetViews>
  <sheetFormatPr baseColWidth="10" defaultRowHeight="16.2" x14ac:dyDescent="0.3"/>
  <cols>
    <col min="1" max="1" width="7.4609375" customWidth="1"/>
    <col min="2" max="2" width="6.53515625" customWidth="1"/>
    <col min="3" max="3" width="3.15234375" customWidth="1"/>
    <col min="4" max="4" width="17.765625" customWidth="1"/>
    <col min="5" max="5" width="10.3046875" customWidth="1"/>
    <col min="6" max="7" width="5.61328125" customWidth="1"/>
    <col min="8" max="8" width="5.69140625" customWidth="1"/>
    <col min="9" max="9" width="4.921875" customWidth="1"/>
    <col min="10" max="10" width="6.23046875" customWidth="1"/>
    <col min="11" max="11" width="8.15234375" customWidth="1"/>
    <col min="12" max="12" width="8.07421875" customWidth="1"/>
    <col min="13" max="13" width="8.15234375" customWidth="1"/>
  </cols>
  <sheetData>
    <row r="1" spans="1:13" ht="17.7" customHeight="1" thickBot="1" x14ac:dyDescent="0.35">
      <c r="A1" s="1" t="s">
        <v>0</v>
      </c>
      <c r="B1" s="77" t="s">
        <v>1</v>
      </c>
      <c r="C1" s="77"/>
      <c r="D1" s="77"/>
      <c r="E1" s="77"/>
      <c r="F1" s="77"/>
      <c r="G1" s="77"/>
      <c r="H1" s="77"/>
      <c r="I1" s="77"/>
      <c r="J1" s="77"/>
      <c r="K1" s="77"/>
      <c r="L1" s="77"/>
      <c r="M1" s="77"/>
    </row>
    <row r="2" spans="1:13" ht="17.7" customHeight="1" thickBot="1" x14ac:dyDescent="0.35">
      <c r="A2" s="77" t="s">
        <v>2</v>
      </c>
      <c r="B2" s="77"/>
      <c r="C2" s="77"/>
      <c r="D2" s="2"/>
      <c r="E2" s="2"/>
      <c r="F2" s="2"/>
      <c r="G2" s="2"/>
      <c r="H2" s="2"/>
      <c r="I2" s="2"/>
      <c r="J2" s="2"/>
      <c r="K2" s="2"/>
      <c r="L2" s="4" t="s">
        <v>3</v>
      </c>
      <c r="M2" s="6">
        <v>3</v>
      </c>
    </row>
    <row r="3" spans="1:13" ht="16.649999999999999" customHeight="1" thickBot="1" x14ac:dyDescent="0.35">
      <c r="A3" s="7" t="s">
        <v>4</v>
      </c>
      <c r="B3" s="7" t="s">
        <v>5</v>
      </c>
      <c r="C3" s="7" t="s">
        <v>6</v>
      </c>
      <c r="D3" s="7" t="s">
        <v>7</v>
      </c>
      <c r="E3" s="8"/>
      <c r="F3" s="8"/>
      <c r="G3" s="8"/>
      <c r="H3" s="8"/>
      <c r="I3" s="8"/>
      <c r="J3" s="8"/>
      <c r="K3" s="9" t="s">
        <v>8</v>
      </c>
      <c r="L3" s="9" t="s">
        <v>9</v>
      </c>
      <c r="M3" s="9" t="s">
        <v>10</v>
      </c>
    </row>
    <row r="4" spans="1:13" ht="34.65" customHeight="1" thickBot="1" x14ac:dyDescent="0.35">
      <c r="A4" s="11" t="s">
        <v>11</v>
      </c>
      <c r="B4" s="11" t="s">
        <v>12</v>
      </c>
      <c r="C4" s="12"/>
      <c r="D4" s="78" t="s">
        <v>13</v>
      </c>
      <c r="E4" s="78"/>
      <c r="F4" s="78"/>
      <c r="G4" s="78"/>
      <c r="H4" s="78"/>
      <c r="I4" s="78"/>
      <c r="J4" s="78"/>
      <c r="K4" s="12"/>
      <c r="L4" s="13">
        <f>L1223</f>
        <v>596384.44999999995</v>
      </c>
      <c r="M4" s="13">
        <f>ROUND(L4,2)</f>
        <v>596384.44999999995</v>
      </c>
    </row>
    <row r="5" spans="1:13" ht="15.45" customHeight="1" thickBot="1" x14ac:dyDescent="0.35">
      <c r="A5" s="14" t="s">
        <v>14</v>
      </c>
      <c r="B5" s="14" t="s">
        <v>15</v>
      </c>
      <c r="C5" s="15"/>
      <c r="D5" s="79" t="s">
        <v>16</v>
      </c>
      <c r="E5" s="79"/>
      <c r="F5" s="79"/>
      <c r="G5" s="79"/>
      <c r="H5" s="79"/>
      <c r="I5" s="79"/>
      <c r="J5" s="79"/>
      <c r="K5" s="15"/>
      <c r="L5" s="16">
        <f>L20</f>
        <v>4231.68</v>
      </c>
      <c r="M5" s="16">
        <f>ROUND(L5,2)</f>
        <v>4231.68</v>
      </c>
    </row>
    <row r="6" spans="1:13" ht="15.45" customHeight="1" thickBot="1" x14ac:dyDescent="0.35">
      <c r="A6" s="17" t="s">
        <v>17</v>
      </c>
      <c r="B6" s="17" t="s">
        <v>18</v>
      </c>
      <c r="C6" s="18"/>
      <c r="D6" s="80" t="s">
        <v>19</v>
      </c>
      <c r="E6" s="80"/>
      <c r="F6" s="80"/>
      <c r="G6" s="80"/>
      <c r="H6" s="80"/>
      <c r="I6" s="80"/>
      <c r="J6" s="80"/>
      <c r="K6" s="18"/>
      <c r="L6" s="19">
        <f>L19</f>
        <v>4231.68</v>
      </c>
      <c r="M6" s="19">
        <f>ROUND(L6,2)</f>
        <v>4231.68</v>
      </c>
    </row>
    <row r="7" spans="1:13" ht="15.45" customHeight="1" thickBot="1" x14ac:dyDescent="0.35">
      <c r="A7" s="20" t="s">
        <v>20</v>
      </c>
      <c r="B7" s="20" t="s">
        <v>21</v>
      </c>
      <c r="C7" s="21"/>
      <c r="D7" s="81" t="s">
        <v>22</v>
      </c>
      <c r="E7" s="81"/>
      <c r="F7" s="81"/>
      <c r="G7" s="81"/>
      <c r="H7" s="81"/>
      <c r="I7" s="81"/>
      <c r="J7" s="81"/>
      <c r="K7" s="21"/>
      <c r="L7" s="22">
        <f>L18</f>
        <v>4231.68</v>
      </c>
      <c r="M7" s="22">
        <f>ROUND(L7,2)</f>
        <v>4231.68</v>
      </c>
    </row>
    <row r="8" spans="1:13" ht="21.3" customHeight="1" thickBot="1" x14ac:dyDescent="0.35">
      <c r="A8" s="10" t="s">
        <v>23</v>
      </c>
      <c r="B8" s="5" t="s">
        <v>24</v>
      </c>
      <c r="C8" s="5" t="s">
        <v>25</v>
      </c>
      <c r="D8" s="82" t="s">
        <v>26</v>
      </c>
      <c r="E8" s="82"/>
      <c r="F8" s="82"/>
      <c r="G8" s="82"/>
      <c r="H8" s="82"/>
      <c r="I8" s="82"/>
      <c r="J8" s="82"/>
      <c r="K8" s="23">
        <f>SUM(K10:K10)</f>
        <v>96</v>
      </c>
      <c r="L8" s="24">
        <f>L17</f>
        <v>44.08</v>
      </c>
      <c r="M8" s="24">
        <f>ROUND(K8*L8,2)</f>
        <v>4231.68</v>
      </c>
    </row>
    <row r="9" spans="1:13" ht="15.15" customHeight="1" thickBot="1" x14ac:dyDescent="0.35">
      <c r="A9" s="25"/>
      <c r="B9" s="25"/>
      <c r="C9" s="25"/>
      <c r="D9" s="25"/>
      <c r="E9" s="26"/>
      <c r="F9" s="28" t="s">
        <v>27</v>
      </c>
      <c r="G9" s="28" t="s">
        <v>28</v>
      </c>
      <c r="H9" s="28" t="s">
        <v>29</v>
      </c>
      <c r="I9" s="28" t="s">
        <v>30</v>
      </c>
      <c r="J9" s="28" t="s">
        <v>31</v>
      </c>
      <c r="K9" s="28" t="s">
        <v>32</v>
      </c>
      <c r="L9" s="25"/>
      <c r="M9" s="25"/>
    </row>
    <row r="10" spans="1:13" ht="21.3" customHeight="1" thickBot="1" x14ac:dyDescent="0.35">
      <c r="A10" s="25"/>
      <c r="B10" s="25"/>
      <c r="C10" s="25"/>
      <c r="D10" s="29"/>
      <c r="E10" s="30" t="s">
        <v>33</v>
      </c>
      <c r="F10" s="31"/>
      <c r="G10" s="32">
        <v>40</v>
      </c>
      <c r="H10" s="32">
        <v>0.3</v>
      </c>
      <c r="I10" s="32">
        <v>8</v>
      </c>
      <c r="J10" s="34">
        <f>ROUND(G10*H10*I10,3)</f>
        <v>96</v>
      </c>
      <c r="K10" s="36">
        <f>SUM(J10:J10)</f>
        <v>96</v>
      </c>
      <c r="L10" s="25"/>
      <c r="M10" s="25"/>
    </row>
    <row r="11" spans="1:13" ht="15.15" customHeight="1" thickBot="1" x14ac:dyDescent="0.35">
      <c r="A11" s="5" t="s">
        <v>34</v>
      </c>
      <c r="B11" s="5" t="s">
        <v>35</v>
      </c>
      <c r="C11" s="5" t="s">
        <v>36</v>
      </c>
      <c r="D11" s="82" t="s">
        <v>37</v>
      </c>
      <c r="E11" s="82"/>
      <c r="F11" s="82"/>
      <c r="G11" s="82"/>
      <c r="H11" s="82"/>
      <c r="I11" s="82"/>
      <c r="J11" s="82"/>
      <c r="K11" s="23">
        <v>0.32100000000000001</v>
      </c>
      <c r="L11" s="23">
        <f>ROUND(38.12,3)</f>
        <v>38.119999999999997</v>
      </c>
      <c r="M11" s="24">
        <f>ROUND(K11*L11,2)</f>
        <v>12.24</v>
      </c>
    </row>
    <row r="12" spans="1:13" ht="15.15" customHeight="1" thickBot="1" x14ac:dyDescent="0.35">
      <c r="A12" s="5" t="s">
        <v>38</v>
      </c>
      <c r="B12" s="5" t="s">
        <v>39</v>
      </c>
      <c r="C12" s="5" t="s">
        <v>40</v>
      </c>
      <c r="D12" s="82" t="s">
        <v>41</v>
      </c>
      <c r="E12" s="82"/>
      <c r="F12" s="82"/>
      <c r="G12" s="82"/>
      <c r="H12" s="82"/>
      <c r="I12" s="82"/>
      <c r="J12" s="82"/>
      <c r="K12" s="23">
        <v>0.15</v>
      </c>
      <c r="L12" s="23">
        <f>ROUND(24.013,3)</f>
        <v>24.013000000000002</v>
      </c>
      <c r="M12" s="24">
        <f>ROUND(K12*L12,2)</f>
        <v>3.6</v>
      </c>
    </row>
    <row r="13" spans="1:13" ht="15.15" customHeight="1" thickBot="1" x14ac:dyDescent="0.35">
      <c r="A13" s="5" t="s">
        <v>42</v>
      </c>
      <c r="B13" s="5" t="s">
        <v>43</v>
      </c>
      <c r="C13" s="5" t="s">
        <v>44</v>
      </c>
      <c r="D13" s="82" t="s">
        <v>45</v>
      </c>
      <c r="E13" s="82"/>
      <c r="F13" s="82"/>
      <c r="G13" s="82"/>
      <c r="H13" s="82"/>
      <c r="I13" s="82"/>
      <c r="J13" s="82"/>
      <c r="K13" s="23">
        <v>1.24</v>
      </c>
      <c r="L13" s="23">
        <f>ROUND(4.311,3)</f>
        <v>4.3109999999999999</v>
      </c>
      <c r="M13" s="24">
        <f>ROUND(K13*L13,2)</f>
        <v>5.35</v>
      </c>
    </row>
    <row r="14" spans="1:13" ht="15.15" customHeight="1" thickBot="1" x14ac:dyDescent="0.35">
      <c r="A14" s="5" t="s">
        <v>46</v>
      </c>
      <c r="B14" s="5" t="s">
        <v>47</v>
      </c>
      <c r="C14" s="5" t="s">
        <v>48</v>
      </c>
      <c r="D14" s="82" t="s">
        <v>49</v>
      </c>
      <c r="E14" s="82"/>
      <c r="F14" s="82"/>
      <c r="G14" s="82"/>
      <c r="H14" s="82"/>
      <c r="I14" s="82"/>
      <c r="J14" s="82"/>
      <c r="K14" s="23">
        <v>0.7</v>
      </c>
      <c r="L14" s="23">
        <f>ROUND(24.42,3)</f>
        <v>24.42</v>
      </c>
      <c r="M14" s="24">
        <f>ROUND(K14*L14,2)</f>
        <v>17.09</v>
      </c>
    </row>
    <row r="15" spans="1:13" ht="15.15" customHeight="1" thickBot="1" x14ac:dyDescent="0.35">
      <c r="A15" s="5" t="s">
        <v>50</v>
      </c>
      <c r="B15" s="5" t="s">
        <v>51</v>
      </c>
      <c r="C15" s="5" t="s">
        <v>52</v>
      </c>
      <c r="D15" s="82" t="s">
        <v>53</v>
      </c>
      <c r="E15" s="82"/>
      <c r="F15" s="82"/>
      <c r="G15" s="82"/>
      <c r="H15" s="82"/>
      <c r="I15" s="82"/>
      <c r="J15" s="82"/>
      <c r="K15" s="23">
        <v>0.17499999999999999</v>
      </c>
      <c r="L15" s="23">
        <f>ROUND(21,3)</f>
        <v>21</v>
      </c>
      <c r="M15" s="24">
        <f>ROUND(K15*L15,2)</f>
        <v>3.68</v>
      </c>
    </row>
    <row r="16" spans="1:13" ht="15.15" customHeight="1" thickBot="1" x14ac:dyDescent="0.35">
      <c r="A16" s="5" t="s">
        <v>54</v>
      </c>
      <c r="B16" s="5"/>
      <c r="C16" s="5" t="s">
        <v>55</v>
      </c>
      <c r="D16" s="82" t="s">
        <v>56</v>
      </c>
      <c r="E16" s="82"/>
      <c r="F16" s="82"/>
      <c r="G16" s="82"/>
      <c r="H16" s="82"/>
      <c r="I16" s="82"/>
      <c r="J16" s="82"/>
      <c r="K16" s="23">
        <v>2</v>
      </c>
      <c r="L16" s="23">
        <f>ROUND(41.96,3)</f>
        <v>41.96</v>
      </c>
      <c r="M16" s="24">
        <f>ROUND((K16*L16)/100,2)</f>
        <v>0.84</v>
      </c>
    </row>
    <row r="17" spans="1:13" ht="15.45" customHeight="1" thickBot="1" x14ac:dyDescent="0.35">
      <c r="A17" s="37"/>
      <c r="B17" s="37"/>
      <c r="C17" s="37"/>
      <c r="D17" s="38" t="s">
        <v>57</v>
      </c>
      <c r="E17" s="37"/>
      <c r="F17" s="37"/>
      <c r="G17" s="37"/>
      <c r="H17" s="37"/>
      <c r="I17" s="37"/>
      <c r="J17" s="37"/>
      <c r="K17" s="39">
        <v>96</v>
      </c>
      <c r="L17" s="40">
        <f>ROUND((M11+M12+M13+M14+M15+M16)*(1+M2/100),2)</f>
        <v>44.08</v>
      </c>
      <c r="M17" s="40">
        <f>ROUND(K17*L17,2)</f>
        <v>4231.68</v>
      </c>
    </row>
    <row r="18" spans="1:13" ht="15.45" customHeight="1" thickBot="1" x14ac:dyDescent="0.35">
      <c r="A18" s="41"/>
      <c r="B18" s="41"/>
      <c r="C18" s="41"/>
      <c r="D18" s="42" t="s">
        <v>58</v>
      </c>
      <c r="E18" s="43"/>
      <c r="F18" s="43"/>
      <c r="G18" s="43"/>
      <c r="H18" s="43"/>
      <c r="I18" s="43"/>
      <c r="J18" s="43"/>
      <c r="K18" s="43"/>
      <c r="L18" s="44">
        <f>M8</f>
        <v>4231.68</v>
      </c>
      <c r="M18" s="44">
        <f t="shared" ref="M18:M23" si="0">ROUND(L18,2)</f>
        <v>4231.68</v>
      </c>
    </row>
    <row r="19" spans="1:13" ht="15.45" customHeight="1" thickBot="1" x14ac:dyDescent="0.35">
      <c r="A19" s="41"/>
      <c r="B19" s="41"/>
      <c r="C19" s="41"/>
      <c r="D19" s="45" t="s">
        <v>59</v>
      </c>
      <c r="E19" s="46"/>
      <c r="F19" s="46"/>
      <c r="G19" s="46"/>
      <c r="H19" s="46"/>
      <c r="I19" s="46"/>
      <c r="J19" s="46"/>
      <c r="K19" s="46"/>
      <c r="L19" s="47">
        <f>M18</f>
        <v>4231.68</v>
      </c>
      <c r="M19" s="47">
        <f t="shared" si="0"/>
        <v>4231.68</v>
      </c>
    </row>
    <row r="20" spans="1:13" ht="15.45" customHeight="1" thickBot="1" x14ac:dyDescent="0.35">
      <c r="A20" s="41"/>
      <c r="B20" s="41"/>
      <c r="C20" s="41"/>
      <c r="D20" s="48" t="s">
        <v>60</v>
      </c>
      <c r="E20" s="49"/>
      <c r="F20" s="49"/>
      <c r="G20" s="49"/>
      <c r="H20" s="49"/>
      <c r="I20" s="49"/>
      <c r="J20" s="49"/>
      <c r="K20" s="49"/>
      <c r="L20" s="50">
        <f>M19</f>
        <v>4231.68</v>
      </c>
      <c r="M20" s="50">
        <f t="shared" si="0"/>
        <v>4231.68</v>
      </c>
    </row>
    <row r="21" spans="1:13" ht="15.45" customHeight="1" thickBot="1" x14ac:dyDescent="0.35">
      <c r="A21" s="51" t="s">
        <v>61</v>
      </c>
      <c r="B21" s="51" t="s">
        <v>62</v>
      </c>
      <c r="C21" s="52"/>
      <c r="D21" s="83" t="s">
        <v>63</v>
      </c>
      <c r="E21" s="83"/>
      <c r="F21" s="83"/>
      <c r="G21" s="83"/>
      <c r="H21" s="83"/>
      <c r="I21" s="83"/>
      <c r="J21" s="83"/>
      <c r="K21" s="52"/>
      <c r="L21" s="53">
        <f>L154</f>
        <v>60544.66</v>
      </c>
      <c r="M21" s="53">
        <f t="shared" si="0"/>
        <v>60544.66</v>
      </c>
    </row>
    <row r="22" spans="1:13" ht="15.45" customHeight="1" thickBot="1" x14ac:dyDescent="0.35">
      <c r="A22" s="17" t="s">
        <v>64</v>
      </c>
      <c r="B22" s="17" t="s">
        <v>65</v>
      </c>
      <c r="C22" s="18"/>
      <c r="D22" s="80" t="s">
        <v>66</v>
      </c>
      <c r="E22" s="80"/>
      <c r="F22" s="80"/>
      <c r="G22" s="80"/>
      <c r="H22" s="80"/>
      <c r="I22" s="80"/>
      <c r="J22" s="80"/>
      <c r="K22" s="18"/>
      <c r="L22" s="19">
        <f>L83</f>
        <v>30998.55</v>
      </c>
      <c r="M22" s="19">
        <f t="shared" si="0"/>
        <v>30998.55</v>
      </c>
    </row>
    <row r="23" spans="1:13" ht="15.45" customHeight="1" thickBot="1" x14ac:dyDescent="0.35">
      <c r="A23" s="20" t="s">
        <v>67</v>
      </c>
      <c r="B23" s="20" t="s">
        <v>68</v>
      </c>
      <c r="C23" s="21"/>
      <c r="D23" s="81" t="s">
        <v>69</v>
      </c>
      <c r="E23" s="81"/>
      <c r="F23" s="81"/>
      <c r="G23" s="81"/>
      <c r="H23" s="81"/>
      <c r="I23" s="81"/>
      <c r="J23" s="81"/>
      <c r="K23" s="21"/>
      <c r="L23" s="22">
        <f>L33</f>
        <v>5347.32</v>
      </c>
      <c r="M23" s="22">
        <f t="shared" si="0"/>
        <v>5347.32</v>
      </c>
    </row>
    <row r="24" spans="1:13" ht="21.3" customHeight="1" thickBot="1" x14ac:dyDescent="0.35">
      <c r="A24" s="10" t="s">
        <v>70</v>
      </c>
      <c r="B24" s="5" t="s">
        <v>71</v>
      </c>
      <c r="C24" s="5" t="s">
        <v>72</v>
      </c>
      <c r="D24" s="82" t="s">
        <v>73</v>
      </c>
      <c r="E24" s="82"/>
      <c r="F24" s="82"/>
      <c r="G24" s="82"/>
      <c r="H24" s="82"/>
      <c r="I24" s="82"/>
      <c r="J24" s="82"/>
      <c r="K24" s="23">
        <f>SUM(K26:K26)</f>
        <v>4493.55</v>
      </c>
      <c r="L24" s="24">
        <f>L32</f>
        <v>1.19</v>
      </c>
      <c r="M24" s="24">
        <f>ROUND(K24*L24,2)</f>
        <v>5347.32</v>
      </c>
    </row>
    <row r="25" spans="1:13" ht="15.15" customHeight="1" thickBot="1" x14ac:dyDescent="0.35">
      <c r="A25" s="25"/>
      <c r="B25" s="25"/>
      <c r="C25" s="25"/>
      <c r="D25" s="25"/>
      <c r="E25" s="26"/>
      <c r="F25" s="28" t="s">
        <v>74</v>
      </c>
      <c r="G25" s="28" t="s">
        <v>75</v>
      </c>
      <c r="H25" s="28" t="s">
        <v>76</v>
      </c>
      <c r="I25" s="28" t="s">
        <v>77</v>
      </c>
      <c r="J25" s="28" t="s">
        <v>78</v>
      </c>
      <c r="K25" s="28" t="s">
        <v>79</v>
      </c>
      <c r="L25" s="25"/>
      <c r="M25" s="25"/>
    </row>
    <row r="26" spans="1:13" ht="15.15" customHeight="1" thickBot="1" x14ac:dyDescent="0.35">
      <c r="A26" s="25"/>
      <c r="B26" s="25"/>
      <c r="C26" s="25"/>
      <c r="D26" s="29"/>
      <c r="E26" s="30" t="s">
        <v>80</v>
      </c>
      <c r="F26" s="31"/>
      <c r="G26" s="32"/>
      <c r="H26" s="32"/>
      <c r="I26" s="32">
        <v>4493.55</v>
      </c>
      <c r="J26" s="34">
        <f>ROUND(I26,3)</f>
        <v>4493.55</v>
      </c>
      <c r="K26" s="36">
        <f>SUM(J26:J26)</f>
        <v>4493.55</v>
      </c>
      <c r="L26" s="25"/>
      <c r="M26" s="25"/>
    </row>
    <row r="27" spans="1:13" ht="15.15" customHeight="1" thickBot="1" x14ac:dyDescent="0.35">
      <c r="A27" s="5" t="s">
        <v>81</v>
      </c>
      <c r="B27" s="5" t="s">
        <v>82</v>
      </c>
      <c r="C27" s="5" t="s">
        <v>83</v>
      </c>
      <c r="D27" s="82" t="s">
        <v>84</v>
      </c>
      <c r="E27" s="82"/>
      <c r="F27" s="82"/>
      <c r="G27" s="82"/>
      <c r="H27" s="82"/>
      <c r="I27" s="82"/>
      <c r="J27" s="82"/>
      <c r="K27" s="23">
        <v>2.1000000000000001E-2</v>
      </c>
      <c r="L27" s="23">
        <f>ROUND(23.593,3)</f>
        <v>23.593</v>
      </c>
      <c r="M27" s="24">
        <f>ROUND(K27*L27,2)</f>
        <v>0.5</v>
      </c>
    </row>
    <row r="28" spans="1:13" ht="15.15" customHeight="1" thickBot="1" x14ac:dyDescent="0.35">
      <c r="A28" s="5" t="s">
        <v>85</v>
      </c>
      <c r="B28" s="5" t="s">
        <v>86</v>
      </c>
      <c r="C28" s="5" t="s">
        <v>87</v>
      </c>
      <c r="D28" s="82" t="s">
        <v>88</v>
      </c>
      <c r="E28" s="82"/>
      <c r="F28" s="82"/>
      <c r="G28" s="82"/>
      <c r="H28" s="82"/>
      <c r="I28" s="82"/>
      <c r="J28" s="82"/>
      <c r="K28" s="23">
        <v>0.01</v>
      </c>
      <c r="L28" s="23">
        <f>ROUND(38.12,3)</f>
        <v>38.119999999999997</v>
      </c>
      <c r="M28" s="24">
        <f>ROUND(K28*L28,2)</f>
        <v>0.38</v>
      </c>
    </row>
    <row r="29" spans="1:13" ht="15.15" customHeight="1" thickBot="1" x14ac:dyDescent="0.35">
      <c r="A29" s="5" t="s">
        <v>89</v>
      </c>
      <c r="B29" s="5" t="s">
        <v>90</v>
      </c>
      <c r="C29" s="5" t="s">
        <v>91</v>
      </c>
      <c r="D29" s="82" t="s">
        <v>92</v>
      </c>
      <c r="E29" s="82"/>
      <c r="F29" s="82"/>
      <c r="G29" s="82"/>
      <c r="H29" s="82"/>
      <c r="I29" s="82"/>
      <c r="J29" s="82"/>
      <c r="K29" s="23">
        <v>6.0000000000000001E-3</v>
      </c>
      <c r="L29" s="23">
        <f>ROUND(30,3)</f>
        <v>30</v>
      </c>
      <c r="M29" s="24">
        <f>ROUND(K29*L29,2)</f>
        <v>0.18</v>
      </c>
    </row>
    <row r="30" spans="1:13" ht="15.15" customHeight="1" thickBot="1" x14ac:dyDescent="0.35">
      <c r="A30" s="5" t="s">
        <v>93</v>
      </c>
      <c r="B30" s="5" t="s">
        <v>94</v>
      </c>
      <c r="C30" s="5" t="s">
        <v>95</v>
      </c>
      <c r="D30" s="82" t="s">
        <v>96</v>
      </c>
      <c r="E30" s="82"/>
      <c r="F30" s="82"/>
      <c r="G30" s="82"/>
      <c r="H30" s="82"/>
      <c r="I30" s="82"/>
      <c r="J30" s="82"/>
      <c r="K30" s="23">
        <v>4.0000000000000001E-3</v>
      </c>
      <c r="L30" s="23">
        <f>ROUND(21,3)</f>
        <v>21</v>
      </c>
      <c r="M30" s="24">
        <f>ROUND(K30*L30,2)</f>
        <v>0.08</v>
      </c>
    </row>
    <row r="31" spans="1:13" ht="15.15" customHeight="1" thickBot="1" x14ac:dyDescent="0.35">
      <c r="A31" s="5" t="s">
        <v>97</v>
      </c>
      <c r="B31" s="5"/>
      <c r="C31" s="5" t="s">
        <v>98</v>
      </c>
      <c r="D31" s="82" t="s">
        <v>99</v>
      </c>
      <c r="E31" s="82"/>
      <c r="F31" s="82"/>
      <c r="G31" s="82"/>
      <c r="H31" s="82"/>
      <c r="I31" s="82"/>
      <c r="J31" s="82"/>
      <c r="K31" s="23">
        <v>2</v>
      </c>
      <c r="L31" s="23">
        <f>ROUND(1.14,3)</f>
        <v>1.1399999999999999</v>
      </c>
      <c r="M31" s="24">
        <f>ROUND((K31*L31)/100,2)</f>
        <v>0.02</v>
      </c>
    </row>
    <row r="32" spans="1:13" ht="15.45" customHeight="1" thickBot="1" x14ac:dyDescent="0.35">
      <c r="A32" s="37"/>
      <c r="B32" s="37"/>
      <c r="C32" s="37"/>
      <c r="D32" s="38" t="s">
        <v>100</v>
      </c>
      <c r="E32" s="37"/>
      <c r="F32" s="37"/>
      <c r="G32" s="37"/>
      <c r="H32" s="37"/>
      <c r="I32" s="37"/>
      <c r="J32" s="37"/>
      <c r="K32" s="39">
        <v>4493.55</v>
      </c>
      <c r="L32" s="40">
        <f>ROUND((M27+M28+M29+M30+M31)*(1+M2/100),2)</f>
        <v>1.19</v>
      </c>
      <c r="M32" s="40">
        <f>ROUND(K32*L32,2)</f>
        <v>5347.32</v>
      </c>
    </row>
    <row r="33" spans="1:13" ht="15.45" customHeight="1" thickBot="1" x14ac:dyDescent="0.35">
      <c r="A33" s="41"/>
      <c r="B33" s="41"/>
      <c r="C33" s="41"/>
      <c r="D33" s="42" t="s">
        <v>101</v>
      </c>
      <c r="E33" s="43"/>
      <c r="F33" s="43"/>
      <c r="G33" s="43"/>
      <c r="H33" s="43"/>
      <c r="I33" s="43"/>
      <c r="J33" s="43"/>
      <c r="K33" s="43"/>
      <c r="L33" s="44">
        <f>M24</f>
        <v>5347.32</v>
      </c>
      <c r="M33" s="44">
        <f>ROUND(L33,2)</f>
        <v>5347.32</v>
      </c>
    </row>
    <row r="34" spans="1:13" ht="15.45" customHeight="1" thickBot="1" x14ac:dyDescent="0.35">
      <c r="A34" s="54" t="s">
        <v>102</v>
      </c>
      <c r="B34" s="54" t="s">
        <v>103</v>
      </c>
      <c r="C34" s="55"/>
      <c r="D34" s="84" t="s">
        <v>104</v>
      </c>
      <c r="E34" s="84"/>
      <c r="F34" s="84"/>
      <c r="G34" s="84"/>
      <c r="H34" s="84"/>
      <c r="I34" s="84"/>
      <c r="J34" s="84"/>
      <c r="K34" s="55"/>
      <c r="L34" s="56">
        <f>L62</f>
        <v>10921.5</v>
      </c>
      <c r="M34" s="56">
        <f>ROUND(L34,2)</f>
        <v>10921.5</v>
      </c>
    </row>
    <row r="35" spans="1:13" ht="15.45" customHeight="1" thickBot="1" x14ac:dyDescent="0.35">
      <c r="A35" s="10" t="s">
        <v>105</v>
      </c>
      <c r="B35" s="5" t="s">
        <v>106</v>
      </c>
      <c r="C35" s="5" t="s">
        <v>107</v>
      </c>
      <c r="D35" s="82" t="s">
        <v>108</v>
      </c>
      <c r="E35" s="82"/>
      <c r="F35" s="82"/>
      <c r="G35" s="82"/>
      <c r="H35" s="82"/>
      <c r="I35" s="82"/>
      <c r="J35" s="82"/>
      <c r="K35" s="23">
        <f>SUM(K37:K38)</f>
        <v>873.92899999999997</v>
      </c>
      <c r="L35" s="24">
        <f>L42</f>
        <v>3.62</v>
      </c>
      <c r="M35" s="24">
        <f>ROUND(K35*L35,2)</f>
        <v>3163.62</v>
      </c>
    </row>
    <row r="36" spans="1:13" ht="15.15" customHeight="1" thickBot="1" x14ac:dyDescent="0.35">
      <c r="A36" s="25"/>
      <c r="B36" s="25"/>
      <c r="C36" s="25"/>
      <c r="D36" s="25"/>
      <c r="E36" s="26"/>
      <c r="F36" s="28" t="s">
        <v>109</v>
      </c>
      <c r="G36" s="28" t="s">
        <v>110</v>
      </c>
      <c r="H36" s="28" t="s">
        <v>111</v>
      </c>
      <c r="I36" s="28" t="s">
        <v>112</v>
      </c>
      <c r="J36" s="28" t="s">
        <v>113</v>
      </c>
      <c r="K36" s="28" t="s">
        <v>114</v>
      </c>
      <c r="L36" s="25"/>
      <c r="M36" s="25"/>
    </row>
    <row r="37" spans="1:13" ht="15.15" customHeight="1" thickBot="1" x14ac:dyDescent="0.35">
      <c r="A37" s="25"/>
      <c r="B37" s="25"/>
      <c r="C37" s="25"/>
      <c r="D37" s="29"/>
      <c r="E37" s="30" t="s">
        <v>115</v>
      </c>
      <c r="F37" s="31"/>
      <c r="G37" s="32">
        <v>80</v>
      </c>
      <c r="H37" s="32"/>
      <c r="I37" s="32">
        <v>10</v>
      </c>
      <c r="J37" s="34">
        <f>ROUND(G37*I37,3)</f>
        <v>800</v>
      </c>
      <c r="K37" s="57"/>
      <c r="L37" s="25"/>
      <c r="M37" s="25"/>
    </row>
    <row r="38" spans="1:13" ht="21.3" customHeight="1" thickBot="1" x14ac:dyDescent="0.35">
      <c r="A38" s="25"/>
      <c r="B38" s="25"/>
      <c r="C38" s="25"/>
      <c r="D38" s="29"/>
      <c r="E38" s="5" t="s">
        <v>116</v>
      </c>
      <c r="F38" s="3"/>
      <c r="G38" s="23"/>
      <c r="H38" s="23"/>
      <c r="I38" s="23">
        <v>73.929000000000002</v>
      </c>
      <c r="J38" s="33">
        <f>ROUND(I38,3)</f>
        <v>73.929000000000002</v>
      </c>
      <c r="K38" s="35">
        <f>SUM(J37:J38)</f>
        <v>873.92899999999997</v>
      </c>
      <c r="L38" s="25"/>
      <c r="M38" s="25"/>
    </row>
    <row r="39" spans="1:13" ht="15.15" customHeight="1" thickBot="1" x14ac:dyDescent="0.35">
      <c r="A39" s="5" t="s">
        <v>117</v>
      </c>
      <c r="B39" s="5" t="s">
        <v>118</v>
      </c>
      <c r="C39" s="5" t="s">
        <v>119</v>
      </c>
      <c r="D39" s="82" t="s">
        <v>120</v>
      </c>
      <c r="E39" s="82"/>
      <c r="F39" s="82"/>
      <c r="G39" s="82"/>
      <c r="H39" s="82"/>
      <c r="I39" s="82"/>
      <c r="J39" s="82"/>
      <c r="K39" s="23">
        <v>0.129</v>
      </c>
      <c r="L39" s="23">
        <f>ROUND(21.596,3)</f>
        <v>21.596</v>
      </c>
      <c r="M39" s="24">
        <f>ROUND(K39*L39,2)</f>
        <v>2.79</v>
      </c>
    </row>
    <row r="40" spans="1:13" ht="15.15" customHeight="1" thickBot="1" x14ac:dyDescent="0.35">
      <c r="A40" s="5" t="s">
        <v>121</v>
      </c>
      <c r="B40" s="5" t="s">
        <v>122</v>
      </c>
      <c r="C40" s="5" t="s">
        <v>123</v>
      </c>
      <c r="D40" s="82" t="s">
        <v>124</v>
      </c>
      <c r="E40" s="82"/>
      <c r="F40" s="82"/>
      <c r="G40" s="82"/>
      <c r="H40" s="82"/>
      <c r="I40" s="82"/>
      <c r="J40" s="82"/>
      <c r="K40" s="23">
        <v>3.1E-2</v>
      </c>
      <c r="L40" s="23">
        <f>ROUND(21,3)</f>
        <v>21</v>
      </c>
      <c r="M40" s="24">
        <f>ROUND(K40*L40,2)</f>
        <v>0.65</v>
      </c>
    </row>
    <row r="41" spans="1:13" ht="15.15" customHeight="1" thickBot="1" x14ac:dyDescent="0.35">
      <c r="A41" s="5" t="s">
        <v>125</v>
      </c>
      <c r="B41" s="5"/>
      <c r="C41" s="5" t="s">
        <v>126</v>
      </c>
      <c r="D41" s="82" t="s">
        <v>127</v>
      </c>
      <c r="E41" s="82"/>
      <c r="F41" s="82"/>
      <c r="G41" s="82"/>
      <c r="H41" s="82"/>
      <c r="I41" s="82"/>
      <c r="J41" s="82"/>
      <c r="K41" s="23">
        <v>2</v>
      </c>
      <c r="L41" s="23">
        <f>ROUND(3.44,3)</f>
        <v>3.44</v>
      </c>
      <c r="M41" s="24">
        <f>ROUND((K41*L41)/100,2)</f>
        <v>7.0000000000000007E-2</v>
      </c>
    </row>
    <row r="42" spans="1:13" ht="15.45" customHeight="1" thickBot="1" x14ac:dyDescent="0.35">
      <c r="A42" s="37"/>
      <c r="B42" s="37"/>
      <c r="C42" s="37"/>
      <c r="D42" s="38" t="s">
        <v>128</v>
      </c>
      <c r="E42" s="37"/>
      <c r="F42" s="37"/>
      <c r="G42" s="37"/>
      <c r="H42" s="37"/>
      <c r="I42" s="37"/>
      <c r="J42" s="37"/>
      <c r="K42" s="39">
        <v>873.92899999999997</v>
      </c>
      <c r="L42" s="40">
        <f>ROUND((M39+M40+M41)*(1+M2/100),2)</f>
        <v>3.62</v>
      </c>
      <c r="M42" s="40">
        <f>ROUND(K42*L42,2)</f>
        <v>3163.62</v>
      </c>
    </row>
    <row r="43" spans="1:13" ht="21.3" customHeight="1" thickBot="1" x14ac:dyDescent="0.35">
      <c r="A43" s="58" t="s">
        <v>129</v>
      </c>
      <c r="B43" s="59" t="s">
        <v>130</v>
      </c>
      <c r="C43" s="59" t="s">
        <v>131</v>
      </c>
      <c r="D43" s="85" t="s">
        <v>132</v>
      </c>
      <c r="E43" s="85"/>
      <c r="F43" s="85"/>
      <c r="G43" s="85"/>
      <c r="H43" s="85"/>
      <c r="I43" s="85"/>
      <c r="J43" s="85"/>
      <c r="K43" s="60">
        <f>SUM(K45:K50)</f>
        <v>482.27299999999997</v>
      </c>
      <c r="L43" s="61">
        <f>L54</f>
        <v>15.52</v>
      </c>
      <c r="M43" s="61">
        <f>ROUND(K43*L43,2)</f>
        <v>7484.88</v>
      </c>
    </row>
    <row r="44" spans="1:13" ht="15.15" customHeight="1" thickBot="1" x14ac:dyDescent="0.35">
      <c r="A44" s="25"/>
      <c r="B44" s="25"/>
      <c r="C44" s="25"/>
      <c r="D44" s="25"/>
      <c r="E44" s="26"/>
      <c r="F44" s="28" t="s">
        <v>133</v>
      </c>
      <c r="G44" s="28" t="s">
        <v>134</v>
      </c>
      <c r="H44" s="28" t="s">
        <v>135</v>
      </c>
      <c r="I44" s="28" t="s">
        <v>136</v>
      </c>
      <c r="J44" s="28" t="s">
        <v>137</v>
      </c>
      <c r="K44" s="28" t="s">
        <v>138</v>
      </c>
      <c r="L44" s="25"/>
      <c r="M44" s="25"/>
    </row>
    <row r="45" spans="1:13" ht="21.3" customHeight="1" thickBot="1" x14ac:dyDescent="0.35">
      <c r="A45" s="25"/>
      <c r="B45" s="25"/>
      <c r="C45" s="25"/>
      <c r="D45" s="29"/>
      <c r="E45" s="30" t="s">
        <v>139</v>
      </c>
      <c r="F45" s="31"/>
      <c r="G45" s="32"/>
      <c r="H45" s="32"/>
      <c r="I45" s="32">
        <v>81.39</v>
      </c>
      <c r="J45" s="34">
        <f t="shared" ref="J45:J50" si="1">ROUND(I45,3)</f>
        <v>81.39</v>
      </c>
      <c r="K45" s="57"/>
      <c r="L45" s="25"/>
      <c r="M45" s="25"/>
    </row>
    <row r="46" spans="1:13" ht="21.3" customHeight="1" thickBot="1" x14ac:dyDescent="0.35">
      <c r="A46" s="25"/>
      <c r="B46" s="25"/>
      <c r="C46" s="25"/>
      <c r="D46" s="29"/>
      <c r="E46" s="5" t="s">
        <v>140</v>
      </c>
      <c r="F46" s="3"/>
      <c r="G46" s="23"/>
      <c r="H46" s="23"/>
      <c r="I46" s="23">
        <v>3.93</v>
      </c>
      <c r="J46" s="33">
        <f t="shared" si="1"/>
        <v>3.93</v>
      </c>
      <c r="K46" s="25"/>
      <c r="L46" s="25"/>
      <c r="M46" s="25"/>
    </row>
    <row r="47" spans="1:13" ht="21.3" customHeight="1" thickBot="1" x14ac:dyDescent="0.35">
      <c r="A47" s="25"/>
      <c r="B47" s="25"/>
      <c r="C47" s="25"/>
      <c r="D47" s="29"/>
      <c r="E47" s="5" t="s">
        <v>141</v>
      </c>
      <c r="F47" s="3"/>
      <c r="G47" s="23"/>
      <c r="H47" s="23"/>
      <c r="I47" s="23">
        <v>8.9600000000000009</v>
      </c>
      <c r="J47" s="33">
        <f t="shared" si="1"/>
        <v>8.9600000000000009</v>
      </c>
      <c r="K47" s="25"/>
      <c r="L47" s="25"/>
      <c r="M47" s="25"/>
    </row>
    <row r="48" spans="1:13" ht="21.3" customHeight="1" thickBot="1" x14ac:dyDescent="0.35">
      <c r="A48" s="25"/>
      <c r="B48" s="25"/>
      <c r="C48" s="25"/>
      <c r="D48" s="29"/>
      <c r="E48" s="5" t="s">
        <v>142</v>
      </c>
      <c r="F48" s="3"/>
      <c r="G48" s="23"/>
      <c r="H48" s="23"/>
      <c r="I48" s="23">
        <v>216.66300000000001</v>
      </c>
      <c r="J48" s="33">
        <f t="shared" si="1"/>
        <v>216.66300000000001</v>
      </c>
      <c r="K48" s="25"/>
      <c r="L48" s="25"/>
      <c r="M48" s="25"/>
    </row>
    <row r="49" spans="1:13" ht="30.6" customHeight="1" thickBot="1" x14ac:dyDescent="0.35">
      <c r="A49" s="25"/>
      <c r="B49" s="25"/>
      <c r="C49" s="25"/>
      <c r="D49" s="29"/>
      <c r="E49" s="5" t="s">
        <v>143</v>
      </c>
      <c r="F49" s="3"/>
      <c r="G49" s="23"/>
      <c r="H49" s="23"/>
      <c r="I49" s="23">
        <v>25.27</v>
      </c>
      <c r="J49" s="33">
        <f t="shared" si="1"/>
        <v>25.27</v>
      </c>
      <c r="K49" s="25"/>
      <c r="L49" s="25"/>
      <c r="M49" s="25"/>
    </row>
    <row r="50" spans="1:13" ht="30.6" customHeight="1" thickBot="1" x14ac:dyDescent="0.35">
      <c r="A50" s="25"/>
      <c r="B50" s="25"/>
      <c r="C50" s="25"/>
      <c r="D50" s="29"/>
      <c r="E50" s="5" t="s">
        <v>144</v>
      </c>
      <c r="F50" s="3"/>
      <c r="G50" s="23"/>
      <c r="H50" s="23"/>
      <c r="I50" s="23">
        <v>146.06</v>
      </c>
      <c r="J50" s="33">
        <f t="shared" si="1"/>
        <v>146.06</v>
      </c>
      <c r="K50" s="35">
        <f>SUM(J45:J50)</f>
        <v>482.27299999999997</v>
      </c>
      <c r="L50" s="25"/>
      <c r="M50" s="25"/>
    </row>
    <row r="51" spans="1:13" ht="15.15" customHeight="1" thickBot="1" x14ac:dyDescent="0.35">
      <c r="A51" s="5" t="s">
        <v>145</v>
      </c>
      <c r="B51" s="5" t="s">
        <v>146</v>
      </c>
      <c r="C51" s="5" t="s">
        <v>147</v>
      </c>
      <c r="D51" s="82" t="s">
        <v>148</v>
      </c>
      <c r="E51" s="82"/>
      <c r="F51" s="82"/>
      <c r="G51" s="82"/>
      <c r="H51" s="82"/>
      <c r="I51" s="82"/>
      <c r="J51" s="82"/>
      <c r="K51" s="23">
        <v>0.40699999999999997</v>
      </c>
      <c r="L51" s="23">
        <f>ROUND(28.463,3)</f>
        <v>28.463000000000001</v>
      </c>
      <c r="M51" s="24">
        <f>ROUND(K51*L51,2)</f>
        <v>11.58</v>
      </c>
    </row>
    <row r="52" spans="1:13" ht="15.15" customHeight="1" thickBot="1" x14ac:dyDescent="0.35">
      <c r="A52" s="5" t="s">
        <v>149</v>
      </c>
      <c r="B52" s="5" t="s">
        <v>150</v>
      </c>
      <c r="C52" s="5" t="s">
        <v>151</v>
      </c>
      <c r="D52" s="82" t="s">
        <v>152</v>
      </c>
      <c r="E52" s="82"/>
      <c r="F52" s="82"/>
      <c r="G52" s="82"/>
      <c r="H52" s="82"/>
      <c r="I52" s="82"/>
      <c r="J52" s="82"/>
      <c r="K52" s="23">
        <v>0.152</v>
      </c>
      <c r="L52" s="23">
        <f>ROUND(21,3)</f>
        <v>21</v>
      </c>
      <c r="M52" s="24">
        <f>ROUND(K52*L52,2)</f>
        <v>3.19</v>
      </c>
    </row>
    <row r="53" spans="1:13" ht="15.15" customHeight="1" thickBot="1" x14ac:dyDescent="0.35">
      <c r="A53" s="5" t="s">
        <v>153</v>
      </c>
      <c r="B53" s="5"/>
      <c r="C53" s="5" t="s">
        <v>154</v>
      </c>
      <c r="D53" s="82" t="s">
        <v>155</v>
      </c>
      <c r="E53" s="82"/>
      <c r="F53" s="82"/>
      <c r="G53" s="82"/>
      <c r="H53" s="82"/>
      <c r="I53" s="82"/>
      <c r="J53" s="82"/>
      <c r="K53" s="23">
        <v>2</v>
      </c>
      <c r="L53" s="23">
        <f>ROUND(14.77,3)</f>
        <v>14.77</v>
      </c>
      <c r="M53" s="24">
        <f>ROUND((K53*L53)/100,2)</f>
        <v>0.3</v>
      </c>
    </row>
    <row r="54" spans="1:13" ht="15.45" customHeight="1" thickBot="1" x14ac:dyDescent="0.35">
      <c r="A54" s="37"/>
      <c r="B54" s="37"/>
      <c r="C54" s="37"/>
      <c r="D54" s="38" t="s">
        <v>156</v>
      </c>
      <c r="E54" s="37"/>
      <c r="F54" s="37"/>
      <c r="G54" s="37"/>
      <c r="H54" s="37"/>
      <c r="I54" s="37"/>
      <c r="J54" s="37"/>
      <c r="K54" s="39">
        <v>482.27300000000002</v>
      </c>
      <c r="L54" s="40">
        <f>ROUND((M51+M52+M53)*(1+M2/100),2)</f>
        <v>15.52</v>
      </c>
      <c r="M54" s="40">
        <f>ROUND(K54*L54,2)</f>
        <v>7484.88</v>
      </c>
    </row>
    <row r="55" spans="1:13" ht="21.3" customHeight="1" thickBot="1" x14ac:dyDescent="0.35">
      <c r="A55" s="58" t="s">
        <v>157</v>
      </c>
      <c r="B55" s="59" t="s">
        <v>158</v>
      </c>
      <c r="C55" s="59" t="s">
        <v>159</v>
      </c>
      <c r="D55" s="85" t="s">
        <v>160</v>
      </c>
      <c r="E55" s="85"/>
      <c r="F55" s="85"/>
      <c r="G55" s="85"/>
      <c r="H55" s="85"/>
      <c r="I55" s="85"/>
      <c r="J55" s="85"/>
      <c r="K55" s="60">
        <f>SUM(K57:K57)</f>
        <v>20</v>
      </c>
      <c r="L55" s="61">
        <f>L61</f>
        <v>13.65</v>
      </c>
      <c r="M55" s="61">
        <f>ROUND(K55*L55,2)</f>
        <v>273</v>
      </c>
    </row>
    <row r="56" spans="1:13" ht="15.15" customHeight="1" thickBot="1" x14ac:dyDescent="0.35">
      <c r="A56" s="25"/>
      <c r="B56" s="25"/>
      <c r="C56" s="25"/>
      <c r="D56" s="25"/>
      <c r="E56" s="26"/>
      <c r="F56" s="28" t="s">
        <v>161</v>
      </c>
      <c r="G56" s="28" t="s">
        <v>162</v>
      </c>
      <c r="H56" s="28" t="s">
        <v>163</v>
      </c>
      <c r="I56" s="28" t="s">
        <v>164</v>
      </c>
      <c r="J56" s="28" t="s">
        <v>165</v>
      </c>
      <c r="K56" s="28" t="s">
        <v>166</v>
      </c>
      <c r="L56" s="25"/>
      <c r="M56" s="25"/>
    </row>
    <row r="57" spans="1:13" ht="21.3" customHeight="1" thickBot="1" x14ac:dyDescent="0.35">
      <c r="A57" s="25"/>
      <c r="B57" s="25"/>
      <c r="C57" s="25"/>
      <c r="D57" s="29"/>
      <c r="E57" s="30" t="s">
        <v>167</v>
      </c>
      <c r="F57" s="31"/>
      <c r="G57" s="32">
        <v>20</v>
      </c>
      <c r="H57" s="32">
        <v>0.5</v>
      </c>
      <c r="I57" s="32">
        <v>2</v>
      </c>
      <c r="J57" s="34">
        <f>ROUND(G57*H57*I57,3)</f>
        <v>20</v>
      </c>
      <c r="K57" s="36">
        <f>SUM(J57:J57)</f>
        <v>20</v>
      </c>
      <c r="L57" s="25"/>
      <c r="M57" s="25"/>
    </row>
    <row r="58" spans="1:13" ht="15.15" customHeight="1" thickBot="1" x14ac:dyDescent="0.35">
      <c r="A58" s="5" t="s">
        <v>168</v>
      </c>
      <c r="B58" s="5" t="s">
        <v>169</v>
      </c>
      <c r="C58" s="5" t="s">
        <v>170</v>
      </c>
      <c r="D58" s="82" t="s">
        <v>171</v>
      </c>
      <c r="E58" s="82"/>
      <c r="F58" s="82"/>
      <c r="G58" s="82"/>
      <c r="H58" s="82"/>
      <c r="I58" s="82"/>
      <c r="J58" s="82"/>
      <c r="K58" s="23">
        <v>0.35299999999999998</v>
      </c>
      <c r="L58" s="23">
        <f>ROUND(28.463,3)</f>
        <v>28.463000000000001</v>
      </c>
      <c r="M58" s="24">
        <f>ROUND(K58*L58,2)</f>
        <v>10.050000000000001</v>
      </c>
    </row>
    <row r="59" spans="1:13" ht="15.15" customHeight="1" thickBot="1" x14ac:dyDescent="0.35">
      <c r="A59" s="5" t="s">
        <v>172</v>
      </c>
      <c r="B59" s="5" t="s">
        <v>173</v>
      </c>
      <c r="C59" s="5" t="s">
        <v>174</v>
      </c>
      <c r="D59" s="82" t="s">
        <v>175</v>
      </c>
      <c r="E59" s="82"/>
      <c r="F59" s="82"/>
      <c r="G59" s="82"/>
      <c r="H59" s="82"/>
      <c r="I59" s="82"/>
      <c r="J59" s="82"/>
      <c r="K59" s="23">
        <v>0.14000000000000001</v>
      </c>
      <c r="L59" s="23">
        <f>ROUND(21,3)</f>
        <v>21</v>
      </c>
      <c r="M59" s="24">
        <f>ROUND(K59*L59,2)</f>
        <v>2.94</v>
      </c>
    </row>
    <row r="60" spans="1:13" ht="15.15" customHeight="1" thickBot="1" x14ac:dyDescent="0.35">
      <c r="A60" s="5" t="s">
        <v>176</v>
      </c>
      <c r="B60" s="5"/>
      <c r="C60" s="5" t="s">
        <v>177</v>
      </c>
      <c r="D60" s="82" t="s">
        <v>178</v>
      </c>
      <c r="E60" s="82"/>
      <c r="F60" s="82"/>
      <c r="G60" s="82"/>
      <c r="H60" s="82"/>
      <c r="I60" s="82"/>
      <c r="J60" s="82"/>
      <c r="K60" s="23">
        <v>2</v>
      </c>
      <c r="L60" s="23">
        <f>ROUND(12.99,3)</f>
        <v>12.99</v>
      </c>
      <c r="M60" s="24">
        <f>ROUND((K60*L60)/100,2)</f>
        <v>0.26</v>
      </c>
    </row>
    <row r="61" spans="1:13" ht="15.45" customHeight="1" thickBot="1" x14ac:dyDescent="0.35">
      <c r="A61" s="37"/>
      <c r="B61" s="37"/>
      <c r="C61" s="37"/>
      <c r="D61" s="38" t="s">
        <v>179</v>
      </c>
      <c r="E61" s="37"/>
      <c r="F61" s="37"/>
      <c r="G61" s="37"/>
      <c r="H61" s="37"/>
      <c r="I61" s="37"/>
      <c r="J61" s="37"/>
      <c r="K61" s="39">
        <v>20</v>
      </c>
      <c r="L61" s="40">
        <f>ROUND((M58+M59+M60)*(1+M2/100),2)</f>
        <v>13.65</v>
      </c>
      <c r="M61" s="40">
        <f>ROUND(K61*L61,2)</f>
        <v>273</v>
      </c>
    </row>
    <row r="62" spans="1:13" ht="15.45" customHeight="1" thickBot="1" x14ac:dyDescent="0.35">
      <c r="A62" s="41"/>
      <c r="B62" s="41"/>
      <c r="C62" s="41"/>
      <c r="D62" s="42" t="s">
        <v>180</v>
      </c>
      <c r="E62" s="43"/>
      <c r="F62" s="43"/>
      <c r="G62" s="43"/>
      <c r="H62" s="43"/>
      <c r="I62" s="43"/>
      <c r="J62" s="43"/>
      <c r="K62" s="43"/>
      <c r="L62" s="44">
        <f>M35+M43+M55</f>
        <v>10921.5</v>
      </c>
      <c r="M62" s="44">
        <f>ROUND(L62,2)</f>
        <v>10921.5</v>
      </c>
    </row>
    <row r="63" spans="1:13" ht="15.45" customHeight="1" thickBot="1" x14ac:dyDescent="0.35">
      <c r="A63" s="54" t="s">
        <v>181</v>
      </c>
      <c r="B63" s="54" t="s">
        <v>182</v>
      </c>
      <c r="C63" s="55"/>
      <c r="D63" s="84" t="s">
        <v>183</v>
      </c>
      <c r="E63" s="84"/>
      <c r="F63" s="84"/>
      <c r="G63" s="84"/>
      <c r="H63" s="84"/>
      <c r="I63" s="84"/>
      <c r="J63" s="84"/>
      <c r="K63" s="55"/>
      <c r="L63" s="56">
        <f>L82</f>
        <v>14729.73</v>
      </c>
      <c r="M63" s="56">
        <f>ROUND(L63,2)</f>
        <v>14729.73</v>
      </c>
    </row>
    <row r="64" spans="1:13" ht="15.45" customHeight="1" thickBot="1" x14ac:dyDescent="0.35">
      <c r="A64" s="10" t="s">
        <v>184</v>
      </c>
      <c r="B64" s="5" t="s">
        <v>185</v>
      </c>
      <c r="C64" s="5" t="s">
        <v>186</v>
      </c>
      <c r="D64" s="82" t="s">
        <v>187</v>
      </c>
      <c r="E64" s="82"/>
      <c r="F64" s="82"/>
      <c r="G64" s="82"/>
      <c r="H64" s="82"/>
      <c r="I64" s="82"/>
      <c r="J64" s="82"/>
      <c r="K64" s="23">
        <f>SUM(K66:K67)</f>
        <v>800</v>
      </c>
      <c r="L64" s="24">
        <f>L72</f>
        <v>14.64</v>
      </c>
      <c r="M64" s="24">
        <f>ROUND(K64*L64,2)</f>
        <v>11712</v>
      </c>
    </row>
    <row r="65" spans="1:13" ht="15.15" customHeight="1" thickBot="1" x14ac:dyDescent="0.35">
      <c r="A65" s="25"/>
      <c r="B65" s="25"/>
      <c r="C65" s="25"/>
      <c r="D65" s="25"/>
      <c r="E65" s="26"/>
      <c r="F65" s="28" t="s">
        <v>188</v>
      </c>
      <c r="G65" s="28" t="s">
        <v>189</v>
      </c>
      <c r="H65" s="28" t="s">
        <v>190</v>
      </c>
      <c r="I65" s="28" t="s">
        <v>191</v>
      </c>
      <c r="J65" s="28" t="s">
        <v>192</v>
      </c>
      <c r="K65" s="28" t="s">
        <v>193</v>
      </c>
      <c r="L65" s="25"/>
      <c r="M65" s="25"/>
    </row>
    <row r="66" spans="1:13" ht="15.15" customHeight="1" thickBot="1" x14ac:dyDescent="0.35">
      <c r="A66" s="25"/>
      <c r="B66" s="25"/>
      <c r="C66" s="25"/>
      <c r="D66" s="29"/>
      <c r="E66" s="30" t="s">
        <v>194</v>
      </c>
      <c r="F66" s="31"/>
      <c r="G66" s="32">
        <v>80</v>
      </c>
      <c r="H66" s="32"/>
      <c r="I66" s="32">
        <v>10</v>
      </c>
      <c r="J66" s="34">
        <f>ROUND(G66*I66,3)</f>
        <v>800</v>
      </c>
      <c r="K66" s="57"/>
      <c r="L66" s="25"/>
      <c r="M66" s="25"/>
    </row>
    <row r="67" spans="1:13" ht="15.15" customHeight="1" thickBot="1" x14ac:dyDescent="0.35">
      <c r="A67" s="25"/>
      <c r="B67" s="25"/>
      <c r="C67" s="25"/>
      <c r="D67" s="29"/>
      <c r="E67" s="5"/>
      <c r="F67" s="3"/>
      <c r="G67" s="23"/>
      <c r="H67" s="23"/>
      <c r="I67" s="23"/>
      <c r="J67" s="27" t="s">
        <v>195</v>
      </c>
      <c r="K67" s="35">
        <f>SUM(J66:J67)</f>
        <v>800</v>
      </c>
      <c r="L67" s="25"/>
      <c r="M67" s="25"/>
    </row>
    <row r="68" spans="1:13" ht="15.15" customHeight="1" thickBot="1" x14ac:dyDescent="0.35">
      <c r="A68" s="5" t="s">
        <v>196</v>
      </c>
      <c r="B68" s="5" t="s">
        <v>197</v>
      </c>
      <c r="C68" s="5" t="s">
        <v>198</v>
      </c>
      <c r="D68" s="82" t="s">
        <v>199</v>
      </c>
      <c r="E68" s="82"/>
      <c r="F68" s="82"/>
      <c r="G68" s="82"/>
      <c r="H68" s="82"/>
      <c r="I68" s="82"/>
      <c r="J68" s="82"/>
      <c r="K68" s="23">
        <v>2.1</v>
      </c>
      <c r="L68" s="23">
        <f>ROUND(6.079,3)</f>
        <v>6.0789999999999997</v>
      </c>
      <c r="M68" s="24">
        <f>ROUND(K68*L68,2)</f>
        <v>12.77</v>
      </c>
    </row>
    <row r="69" spans="1:13" ht="15.15" customHeight="1" thickBot="1" x14ac:dyDescent="0.35">
      <c r="A69" s="5" t="s">
        <v>200</v>
      </c>
      <c r="B69" s="5" t="s">
        <v>201</v>
      </c>
      <c r="C69" s="5" t="s">
        <v>202</v>
      </c>
      <c r="D69" s="82" t="s">
        <v>203</v>
      </c>
      <c r="E69" s="82"/>
      <c r="F69" s="82"/>
      <c r="G69" s="82"/>
      <c r="H69" s="82"/>
      <c r="I69" s="82"/>
      <c r="J69" s="82"/>
      <c r="K69" s="23">
        <v>6.3E-2</v>
      </c>
      <c r="L69" s="23">
        <f>ROUND(5.461,3)</f>
        <v>5.4610000000000003</v>
      </c>
      <c r="M69" s="24">
        <f>ROUND(K69*L69,2)</f>
        <v>0.34</v>
      </c>
    </row>
    <row r="70" spans="1:13" ht="15.15" customHeight="1" thickBot="1" x14ac:dyDescent="0.35">
      <c r="A70" s="5" t="s">
        <v>204</v>
      </c>
      <c r="B70" s="5" t="s">
        <v>205</v>
      </c>
      <c r="C70" s="5" t="s">
        <v>206</v>
      </c>
      <c r="D70" s="82" t="s">
        <v>207</v>
      </c>
      <c r="E70" s="82"/>
      <c r="F70" s="82"/>
      <c r="G70" s="82"/>
      <c r="H70" s="82"/>
      <c r="I70" s="82"/>
      <c r="J70" s="82"/>
      <c r="K70" s="23">
        <v>3.9E-2</v>
      </c>
      <c r="L70" s="23">
        <f>ROUND(21,3)</f>
        <v>21</v>
      </c>
      <c r="M70" s="24">
        <f>ROUND(K70*L70,2)</f>
        <v>0.82</v>
      </c>
    </row>
    <row r="71" spans="1:13" ht="15.15" customHeight="1" thickBot="1" x14ac:dyDescent="0.35">
      <c r="A71" s="5" t="s">
        <v>208</v>
      </c>
      <c r="B71" s="5"/>
      <c r="C71" s="5" t="s">
        <v>209</v>
      </c>
      <c r="D71" s="82" t="s">
        <v>210</v>
      </c>
      <c r="E71" s="82"/>
      <c r="F71" s="82"/>
      <c r="G71" s="82"/>
      <c r="H71" s="82"/>
      <c r="I71" s="82"/>
      <c r="J71" s="82"/>
      <c r="K71" s="23">
        <v>2</v>
      </c>
      <c r="L71" s="23">
        <f>ROUND(13.93,3)</f>
        <v>13.93</v>
      </c>
      <c r="M71" s="24">
        <f>ROUND((K71*L71)/100,2)</f>
        <v>0.28000000000000003</v>
      </c>
    </row>
    <row r="72" spans="1:13" ht="15.45" customHeight="1" thickBot="1" x14ac:dyDescent="0.35">
      <c r="A72" s="37"/>
      <c r="B72" s="37"/>
      <c r="C72" s="37"/>
      <c r="D72" s="38" t="s">
        <v>211</v>
      </c>
      <c r="E72" s="37"/>
      <c r="F72" s="37"/>
      <c r="G72" s="37"/>
      <c r="H72" s="37"/>
      <c r="I72" s="37"/>
      <c r="J72" s="37"/>
      <c r="K72" s="39">
        <v>800</v>
      </c>
      <c r="L72" s="40">
        <f>ROUND((M68+M69+M70+M71)*(1+M2/100),2)</f>
        <v>14.64</v>
      </c>
      <c r="M72" s="40">
        <f>ROUND(K72*L72,2)</f>
        <v>11712</v>
      </c>
    </row>
    <row r="73" spans="1:13" ht="15.45" customHeight="1" thickBot="1" x14ac:dyDescent="0.35">
      <c r="A73" s="58" t="s">
        <v>212</v>
      </c>
      <c r="B73" s="59" t="s">
        <v>213</v>
      </c>
      <c r="C73" s="59" t="s">
        <v>214</v>
      </c>
      <c r="D73" s="85" t="s">
        <v>215</v>
      </c>
      <c r="E73" s="85"/>
      <c r="F73" s="85"/>
      <c r="G73" s="85"/>
      <c r="H73" s="85"/>
      <c r="I73" s="85"/>
      <c r="J73" s="85"/>
      <c r="K73" s="60">
        <f>SUM(K75:K76)</f>
        <v>210.29500000000002</v>
      </c>
      <c r="L73" s="61">
        <f>L81</f>
        <v>14.35</v>
      </c>
      <c r="M73" s="61">
        <f>ROUND(K73*L73,2)</f>
        <v>3017.73</v>
      </c>
    </row>
    <row r="74" spans="1:13" ht="15.15" customHeight="1" thickBot="1" x14ac:dyDescent="0.35">
      <c r="A74" s="25"/>
      <c r="B74" s="25"/>
      <c r="C74" s="25"/>
      <c r="D74" s="25"/>
      <c r="E74" s="26"/>
      <c r="F74" s="28" t="s">
        <v>216</v>
      </c>
      <c r="G74" s="28" t="s">
        <v>217</v>
      </c>
      <c r="H74" s="28" t="s">
        <v>218</v>
      </c>
      <c r="I74" s="28" t="s">
        <v>219</v>
      </c>
      <c r="J74" s="28" t="s">
        <v>220</v>
      </c>
      <c r="K74" s="28" t="s">
        <v>221</v>
      </c>
      <c r="L74" s="25"/>
      <c r="M74" s="25"/>
    </row>
    <row r="75" spans="1:13" ht="15.15" customHeight="1" thickBot="1" x14ac:dyDescent="0.35">
      <c r="A75" s="25"/>
      <c r="B75" s="25"/>
      <c r="C75" s="25"/>
      <c r="D75" s="29"/>
      <c r="E75" s="30" t="s">
        <v>222</v>
      </c>
      <c r="F75" s="31"/>
      <c r="G75" s="32"/>
      <c r="H75" s="32"/>
      <c r="I75" s="32">
        <v>173.33</v>
      </c>
      <c r="J75" s="34">
        <f>ROUND(I75,3)</f>
        <v>173.33</v>
      </c>
      <c r="K75" s="57"/>
      <c r="L75" s="25"/>
      <c r="M75" s="25"/>
    </row>
    <row r="76" spans="1:13" ht="21.3" customHeight="1" thickBot="1" x14ac:dyDescent="0.35">
      <c r="A76" s="25"/>
      <c r="B76" s="25"/>
      <c r="C76" s="25"/>
      <c r="D76" s="29"/>
      <c r="E76" s="5" t="s">
        <v>223</v>
      </c>
      <c r="F76" s="3"/>
      <c r="G76" s="23"/>
      <c r="H76" s="23"/>
      <c r="I76" s="23">
        <v>36.965000000000003</v>
      </c>
      <c r="J76" s="33">
        <f>ROUND(I76,3)</f>
        <v>36.965000000000003</v>
      </c>
      <c r="K76" s="35">
        <f>SUM(J75:J76)</f>
        <v>210.29500000000002</v>
      </c>
      <c r="L76" s="25"/>
      <c r="M76" s="25"/>
    </row>
    <row r="77" spans="1:13" ht="15.15" customHeight="1" thickBot="1" x14ac:dyDescent="0.35">
      <c r="A77" s="5" t="s">
        <v>224</v>
      </c>
      <c r="B77" s="5" t="s">
        <v>225</v>
      </c>
      <c r="C77" s="5" t="s">
        <v>226</v>
      </c>
      <c r="D77" s="82" t="s">
        <v>227</v>
      </c>
      <c r="E77" s="82"/>
      <c r="F77" s="82"/>
      <c r="G77" s="82"/>
      <c r="H77" s="82"/>
      <c r="I77" s="82"/>
      <c r="J77" s="82"/>
      <c r="K77" s="23">
        <v>2.1</v>
      </c>
      <c r="L77" s="23">
        <f>ROUND(6.079,3)</f>
        <v>6.0789999999999997</v>
      </c>
      <c r="M77" s="24">
        <f>ROUND(K77*L77,2)</f>
        <v>12.77</v>
      </c>
    </row>
    <row r="78" spans="1:13" ht="15.15" customHeight="1" thickBot="1" x14ac:dyDescent="0.35">
      <c r="A78" s="5" t="s">
        <v>228</v>
      </c>
      <c r="B78" s="5" t="s">
        <v>229</v>
      </c>
      <c r="C78" s="5" t="s">
        <v>230</v>
      </c>
      <c r="D78" s="82" t="s">
        <v>231</v>
      </c>
      <c r="E78" s="82"/>
      <c r="F78" s="82"/>
      <c r="G78" s="82"/>
      <c r="H78" s="82"/>
      <c r="I78" s="82"/>
      <c r="J78" s="82"/>
      <c r="K78" s="23">
        <v>0.105</v>
      </c>
      <c r="L78" s="23">
        <f>ROUND(5.461,3)</f>
        <v>5.4610000000000003</v>
      </c>
      <c r="M78" s="24">
        <f>ROUND(K78*L78,2)</f>
        <v>0.56999999999999995</v>
      </c>
    </row>
    <row r="79" spans="1:13" ht="15.15" customHeight="1" thickBot="1" x14ac:dyDescent="0.35">
      <c r="A79" s="5" t="s">
        <v>232</v>
      </c>
      <c r="B79" s="5" t="s">
        <v>233</v>
      </c>
      <c r="C79" s="5" t="s">
        <v>234</v>
      </c>
      <c r="D79" s="82" t="s">
        <v>235</v>
      </c>
      <c r="E79" s="82"/>
      <c r="F79" s="82"/>
      <c r="G79" s="82"/>
      <c r="H79" s="82"/>
      <c r="I79" s="82"/>
      <c r="J79" s="82"/>
      <c r="K79" s="23">
        <v>1.4999999999999999E-2</v>
      </c>
      <c r="L79" s="23">
        <f>ROUND(21,3)</f>
        <v>21</v>
      </c>
      <c r="M79" s="24">
        <f>ROUND(K79*L79,2)</f>
        <v>0.32</v>
      </c>
    </row>
    <row r="80" spans="1:13" ht="15.15" customHeight="1" thickBot="1" x14ac:dyDescent="0.35">
      <c r="A80" s="5" t="s">
        <v>236</v>
      </c>
      <c r="B80" s="5"/>
      <c r="C80" s="5" t="s">
        <v>237</v>
      </c>
      <c r="D80" s="82" t="s">
        <v>238</v>
      </c>
      <c r="E80" s="82"/>
      <c r="F80" s="82"/>
      <c r="G80" s="82"/>
      <c r="H80" s="82"/>
      <c r="I80" s="82"/>
      <c r="J80" s="82"/>
      <c r="K80" s="23">
        <v>2</v>
      </c>
      <c r="L80" s="23">
        <f>ROUND(13.66,3)</f>
        <v>13.66</v>
      </c>
      <c r="M80" s="24">
        <f>ROUND((K80*L80)/100,2)</f>
        <v>0.27</v>
      </c>
    </row>
    <row r="81" spans="1:13" ht="15.45" customHeight="1" thickBot="1" x14ac:dyDescent="0.35">
      <c r="A81" s="37"/>
      <c r="B81" s="37"/>
      <c r="C81" s="37"/>
      <c r="D81" s="38" t="s">
        <v>239</v>
      </c>
      <c r="E81" s="37"/>
      <c r="F81" s="37"/>
      <c r="G81" s="37"/>
      <c r="H81" s="37"/>
      <c r="I81" s="37"/>
      <c r="J81" s="37"/>
      <c r="K81" s="39">
        <v>210.29499999999999</v>
      </c>
      <c r="L81" s="40">
        <f>ROUND((M77+M78+M79+M80)*(1+M2/100),2)</f>
        <v>14.35</v>
      </c>
      <c r="M81" s="40">
        <f>ROUND(K81*L81,2)</f>
        <v>3017.73</v>
      </c>
    </row>
    <row r="82" spans="1:13" ht="15.45" customHeight="1" thickBot="1" x14ac:dyDescent="0.35">
      <c r="A82" s="41"/>
      <c r="B82" s="41"/>
      <c r="C82" s="41"/>
      <c r="D82" s="42" t="s">
        <v>240</v>
      </c>
      <c r="E82" s="43"/>
      <c r="F82" s="43"/>
      <c r="G82" s="43"/>
      <c r="H82" s="43"/>
      <c r="I82" s="43"/>
      <c r="J82" s="43"/>
      <c r="K82" s="43"/>
      <c r="L82" s="44">
        <f>M64+M73</f>
        <v>14729.73</v>
      </c>
      <c r="M82" s="44">
        <f>ROUND(L82,2)</f>
        <v>14729.73</v>
      </c>
    </row>
    <row r="83" spans="1:13" ht="15.45" customHeight="1" thickBot="1" x14ac:dyDescent="0.35">
      <c r="A83" s="41"/>
      <c r="B83" s="41"/>
      <c r="C83" s="41"/>
      <c r="D83" s="45" t="s">
        <v>241</v>
      </c>
      <c r="E83" s="46"/>
      <c r="F83" s="46"/>
      <c r="G83" s="46"/>
      <c r="H83" s="46"/>
      <c r="I83" s="46"/>
      <c r="J83" s="46"/>
      <c r="K83" s="46"/>
      <c r="L83" s="47">
        <f>M33+M62+M82</f>
        <v>30998.55</v>
      </c>
      <c r="M83" s="47">
        <f>ROUND(L83,2)</f>
        <v>30998.55</v>
      </c>
    </row>
    <row r="84" spans="1:13" ht="15.45" customHeight="1" thickBot="1" x14ac:dyDescent="0.35">
      <c r="A84" s="62" t="s">
        <v>242</v>
      </c>
      <c r="B84" s="62" t="s">
        <v>243</v>
      </c>
      <c r="C84" s="63"/>
      <c r="D84" s="86" t="s">
        <v>244</v>
      </c>
      <c r="E84" s="86"/>
      <c r="F84" s="86"/>
      <c r="G84" s="86"/>
      <c r="H84" s="86"/>
      <c r="I84" s="86"/>
      <c r="J84" s="86"/>
      <c r="K84" s="63"/>
      <c r="L84" s="64">
        <f>L117</f>
        <v>3311</v>
      </c>
      <c r="M84" s="64">
        <f>ROUND(L84,2)</f>
        <v>3311</v>
      </c>
    </row>
    <row r="85" spans="1:13" ht="15.45" customHeight="1" thickBot="1" x14ac:dyDescent="0.35">
      <c r="A85" s="20" t="s">
        <v>245</v>
      </c>
      <c r="B85" s="20" t="s">
        <v>246</v>
      </c>
      <c r="C85" s="21"/>
      <c r="D85" s="81" t="s">
        <v>247</v>
      </c>
      <c r="E85" s="81"/>
      <c r="F85" s="81"/>
      <c r="G85" s="81"/>
      <c r="H85" s="81"/>
      <c r="I85" s="81"/>
      <c r="J85" s="81"/>
      <c r="K85" s="21"/>
      <c r="L85" s="22">
        <f>L116</f>
        <v>3311</v>
      </c>
      <c r="M85" s="22">
        <f>ROUND(L85,2)</f>
        <v>3311</v>
      </c>
    </row>
    <row r="86" spans="1:13" ht="58.35" customHeight="1" thickBot="1" x14ac:dyDescent="0.35">
      <c r="A86" s="10" t="s">
        <v>248</v>
      </c>
      <c r="B86" s="5" t="s">
        <v>249</v>
      </c>
      <c r="C86" s="5" t="s">
        <v>250</v>
      </c>
      <c r="D86" s="82" t="s">
        <v>251</v>
      </c>
      <c r="E86" s="82"/>
      <c r="F86" s="82"/>
      <c r="G86" s="82"/>
      <c r="H86" s="82"/>
      <c r="I86" s="82"/>
      <c r="J86" s="82"/>
      <c r="K86" s="23">
        <f>SUM(K88:K89)</f>
        <v>20</v>
      </c>
      <c r="L86" s="24">
        <f>L101</f>
        <v>32.11</v>
      </c>
      <c r="M86" s="24">
        <f>ROUND(K86*L86,2)</f>
        <v>642.20000000000005</v>
      </c>
    </row>
    <row r="87" spans="1:13" ht="15.15" customHeight="1" thickBot="1" x14ac:dyDescent="0.35">
      <c r="A87" s="25"/>
      <c r="B87" s="25"/>
      <c r="C87" s="25"/>
      <c r="D87" s="25"/>
      <c r="E87" s="26"/>
      <c r="F87" s="28" t="s">
        <v>252</v>
      </c>
      <c r="G87" s="28" t="s">
        <v>253</v>
      </c>
      <c r="H87" s="28" t="s">
        <v>254</v>
      </c>
      <c r="I87" s="28" t="s">
        <v>255</v>
      </c>
      <c r="J87" s="28" t="s">
        <v>256</v>
      </c>
      <c r="K87" s="28" t="s">
        <v>257</v>
      </c>
      <c r="L87" s="25"/>
      <c r="M87" s="25"/>
    </row>
    <row r="88" spans="1:13" ht="21.3" customHeight="1" thickBot="1" x14ac:dyDescent="0.35">
      <c r="A88" s="25"/>
      <c r="B88" s="25"/>
      <c r="C88" s="25"/>
      <c r="D88" s="29"/>
      <c r="E88" s="30" t="s">
        <v>258</v>
      </c>
      <c r="F88" s="31"/>
      <c r="G88" s="32">
        <v>10</v>
      </c>
      <c r="H88" s="32"/>
      <c r="I88" s="32"/>
      <c r="J88" s="34">
        <f>ROUND(G88,3)</f>
        <v>10</v>
      </c>
      <c r="K88" s="57"/>
      <c r="L88" s="25"/>
      <c r="M88" s="25"/>
    </row>
    <row r="89" spans="1:13" ht="15.15" customHeight="1" thickBot="1" x14ac:dyDescent="0.35">
      <c r="A89" s="25"/>
      <c r="B89" s="25"/>
      <c r="C89" s="25"/>
      <c r="D89" s="29"/>
      <c r="E89" s="5" t="s">
        <v>259</v>
      </c>
      <c r="F89" s="3"/>
      <c r="G89" s="23">
        <v>10</v>
      </c>
      <c r="H89" s="23"/>
      <c r="I89" s="23"/>
      <c r="J89" s="33">
        <f>ROUND(G89,3)</f>
        <v>10</v>
      </c>
      <c r="K89" s="35">
        <f>SUM(J88:J89)</f>
        <v>20</v>
      </c>
      <c r="L89" s="25"/>
      <c r="M89" s="25"/>
    </row>
    <row r="90" spans="1:13" ht="15.15" customHeight="1" thickBot="1" x14ac:dyDescent="0.35">
      <c r="A90" s="5" t="s">
        <v>260</v>
      </c>
      <c r="B90" s="5" t="s">
        <v>261</v>
      </c>
      <c r="C90" s="5" t="s">
        <v>262</v>
      </c>
      <c r="D90" s="82" t="s">
        <v>263</v>
      </c>
      <c r="E90" s="82"/>
      <c r="F90" s="82"/>
      <c r="G90" s="82"/>
      <c r="H90" s="82"/>
      <c r="I90" s="82"/>
      <c r="J90" s="82"/>
      <c r="K90" s="23">
        <v>0.435</v>
      </c>
      <c r="L90" s="23">
        <f>ROUND(7.557,3)</f>
        <v>7.5570000000000004</v>
      </c>
      <c r="M90" s="24">
        <f t="shared" ref="M90:M99" si="2">ROUND(K90*L90,2)</f>
        <v>3.29</v>
      </c>
    </row>
    <row r="91" spans="1:13" ht="21.3" customHeight="1" thickBot="1" x14ac:dyDescent="0.35">
      <c r="A91" s="5" t="s">
        <v>264</v>
      </c>
      <c r="B91" s="5" t="s">
        <v>265</v>
      </c>
      <c r="C91" s="5" t="s">
        <v>266</v>
      </c>
      <c r="D91" s="82" t="s">
        <v>267</v>
      </c>
      <c r="E91" s="82"/>
      <c r="F91" s="82"/>
      <c r="G91" s="82"/>
      <c r="H91" s="82"/>
      <c r="I91" s="82"/>
      <c r="J91" s="82"/>
      <c r="K91" s="23">
        <v>1.05</v>
      </c>
      <c r="L91" s="23">
        <f>ROUND(13.992,3)</f>
        <v>13.992000000000001</v>
      </c>
      <c r="M91" s="24">
        <f t="shared" si="2"/>
        <v>14.69</v>
      </c>
    </row>
    <row r="92" spans="1:13" ht="15.15" customHeight="1" thickBot="1" x14ac:dyDescent="0.35">
      <c r="A92" s="5" t="s">
        <v>268</v>
      </c>
      <c r="B92" s="5" t="s">
        <v>269</v>
      </c>
      <c r="C92" s="5" t="s">
        <v>270</v>
      </c>
      <c r="D92" s="82" t="s">
        <v>271</v>
      </c>
      <c r="E92" s="82"/>
      <c r="F92" s="82"/>
      <c r="G92" s="82"/>
      <c r="H92" s="82"/>
      <c r="I92" s="82"/>
      <c r="J92" s="82"/>
      <c r="K92" s="23">
        <v>4.0000000000000001E-3</v>
      </c>
      <c r="L92" s="23">
        <f>ROUND(12.204,3)</f>
        <v>12.204000000000001</v>
      </c>
      <c r="M92" s="24">
        <f t="shared" si="2"/>
        <v>0.05</v>
      </c>
    </row>
    <row r="93" spans="1:13" ht="15.15" customHeight="1" thickBot="1" x14ac:dyDescent="0.35">
      <c r="A93" s="5" t="s">
        <v>272</v>
      </c>
      <c r="B93" s="5" t="s">
        <v>273</v>
      </c>
      <c r="C93" s="5" t="s">
        <v>274</v>
      </c>
      <c r="D93" s="82" t="s">
        <v>275</v>
      </c>
      <c r="E93" s="82"/>
      <c r="F93" s="82"/>
      <c r="G93" s="82"/>
      <c r="H93" s="82"/>
      <c r="I93" s="82"/>
      <c r="J93" s="82"/>
      <c r="K93" s="23">
        <v>3.7999999999999999E-2</v>
      </c>
      <c r="L93" s="23">
        <f>ROUND(5.461,3)</f>
        <v>5.4610000000000003</v>
      </c>
      <c r="M93" s="24">
        <f t="shared" si="2"/>
        <v>0.21</v>
      </c>
    </row>
    <row r="94" spans="1:13" ht="15.15" customHeight="1" thickBot="1" x14ac:dyDescent="0.35">
      <c r="A94" s="5" t="s">
        <v>276</v>
      </c>
      <c r="B94" s="5" t="s">
        <v>277</v>
      </c>
      <c r="C94" s="5" t="s">
        <v>278</v>
      </c>
      <c r="D94" s="82" t="s">
        <v>279</v>
      </c>
      <c r="E94" s="82"/>
      <c r="F94" s="82"/>
      <c r="G94" s="82"/>
      <c r="H94" s="82"/>
      <c r="I94" s="82"/>
      <c r="J94" s="82"/>
      <c r="K94" s="23">
        <v>0.29199999999999998</v>
      </c>
      <c r="L94" s="23">
        <f>ROUND(2.059,3)</f>
        <v>2.0590000000000002</v>
      </c>
      <c r="M94" s="24">
        <f t="shared" si="2"/>
        <v>0.6</v>
      </c>
    </row>
    <row r="95" spans="1:13" ht="15.15" customHeight="1" thickBot="1" x14ac:dyDescent="0.35">
      <c r="A95" s="5" t="s">
        <v>280</v>
      </c>
      <c r="B95" s="5" t="s">
        <v>281</v>
      </c>
      <c r="C95" s="5" t="s">
        <v>282</v>
      </c>
      <c r="D95" s="82" t="s">
        <v>283</v>
      </c>
      <c r="E95" s="82"/>
      <c r="F95" s="82"/>
      <c r="G95" s="82"/>
      <c r="H95" s="82"/>
      <c r="I95" s="82"/>
      <c r="J95" s="82"/>
      <c r="K95" s="23">
        <v>4.0000000000000001E-3</v>
      </c>
      <c r="L95" s="23">
        <f>ROUND(23.562,3)</f>
        <v>23.562000000000001</v>
      </c>
      <c r="M95" s="24">
        <f t="shared" si="2"/>
        <v>0.09</v>
      </c>
    </row>
    <row r="96" spans="1:13" ht="15.15" customHeight="1" thickBot="1" x14ac:dyDescent="0.35">
      <c r="A96" s="5" t="s">
        <v>284</v>
      </c>
      <c r="B96" s="5" t="s">
        <v>285</v>
      </c>
      <c r="C96" s="5" t="s">
        <v>286</v>
      </c>
      <c r="D96" s="82" t="s">
        <v>287</v>
      </c>
      <c r="E96" s="82"/>
      <c r="F96" s="82"/>
      <c r="G96" s="82"/>
      <c r="H96" s="82"/>
      <c r="I96" s="82"/>
      <c r="J96" s="82"/>
      <c r="K96" s="23">
        <v>0.13100000000000001</v>
      </c>
      <c r="L96" s="23">
        <f>ROUND(30,3)</f>
        <v>30</v>
      </c>
      <c r="M96" s="24">
        <f t="shared" si="2"/>
        <v>3.93</v>
      </c>
    </row>
    <row r="97" spans="1:13" ht="15.15" customHeight="1" thickBot="1" x14ac:dyDescent="0.35">
      <c r="A97" s="5" t="s">
        <v>288</v>
      </c>
      <c r="B97" s="5" t="s">
        <v>289</v>
      </c>
      <c r="C97" s="5" t="s">
        <v>290</v>
      </c>
      <c r="D97" s="82" t="s">
        <v>291</v>
      </c>
      <c r="E97" s="82"/>
      <c r="F97" s="82"/>
      <c r="G97" s="82"/>
      <c r="H97" s="82"/>
      <c r="I97" s="82"/>
      <c r="J97" s="82"/>
      <c r="K97" s="23">
        <v>0.13200000000000001</v>
      </c>
      <c r="L97" s="23">
        <f>ROUND(21,3)</f>
        <v>21</v>
      </c>
      <c r="M97" s="24">
        <f t="shared" si="2"/>
        <v>2.77</v>
      </c>
    </row>
    <row r="98" spans="1:13" ht="15.15" customHeight="1" thickBot="1" x14ac:dyDescent="0.35">
      <c r="A98" s="5" t="s">
        <v>292</v>
      </c>
      <c r="B98" s="5" t="s">
        <v>293</v>
      </c>
      <c r="C98" s="5" t="s">
        <v>294</v>
      </c>
      <c r="D98" s="82" t="s">
        <v>295</v>
      </c>
      <c r="E98" s="82"/>
      <c r="F98" s="82"/>
      <c r="G98" s="82"/>
      <c r="H98" s="82"/>
      <c r="I98" s="82"/>
      <c r="J98" s="82"/>
      <c r="K98" s="23">
        <v>0.115</v>
      </c>
      <c r="L98" s="23">
        <f>ROUND(30,3)</f>
        <v>30</v>
      </c>
      <c r="M98" s="24">
        <f t="shared" si="2"/>
        <v>3.45</v>
      </c>
    </row>
    <row r="99" spans="1:13" ht="15.15" customHeight="1" thickBot="1" x14ac:dyDescent="0.35">
      <c r="A99" s="5" t="s">
        <v>296</v>
      </c>
      <c r="B99" s="5" t="s">
        <v>297</v>
      </c>
      <c r="C99" s="5" t="s">
        <v>298</v>
      </c>
      <c r="D99" s="82" t="s">
        <v>299</v>
      </c>
      <c r="E99" s="82"/>
      <c r="F99" s="82"/>
      <c r="G99" s="82"/>
      <c r="H99" s="82"/>
      <c r="I99" s="82"/>
      <c r="J99" s="82"/>
      <c r="K99" s="23">
        <v>5.7000000000000002E-2</v>
      </c>
      <c r="L99" s="23">
        <f>ROUND(26,3)</f>
        <v>26</v>
      </c>
      <c r="M99" s="24">
        <f t="shared" si="2"/>
        <v>1.48</v>
      </c>
    </row>
    <row r="100" spans="1:13" ht="15.15" customHeight="1" thickBot="1" x14ac:dyDescent="0.35">
      <c r="A100" s="5" t="s">
        <v>300</v>
      </c>
      <c r="B100" s="5"/>
      <c r="C100" s="5" t="s">
        <v>301</v>
      </c>
      <c r="D100" s="82" t="s">
        <v>302</v>
      </c>
      <c r="E100" s="82"/>
      <c r="F100" s="82"/>
      <c r="G100" s="82"/>
      <c r="H100" s="82"/>
      <c r="I100" s="82"/>
      <c r="J100" s="82"/>
      <c r="K100" s="23">
        <v>2</v>
      </c>
      <c r="L100" s="23">
        <f>ROUND(30.56,3)</f>
        <v>30.56</v>
      </c>
      <c r="M100" s="24">
        <f>ROUND((K100*L100)/100,2)</f>
        <v>0.61</v>
      </c>
    </row>
    <row r="101" spans="1:13" ht="15.45" customHeight="1" thickBot="1" x14ac:dyDescent="0.35">
      <c r="A101" s="37"/>
      <c r="B101" s="37"/>
      <c r="C101" s="37"/>
      <c r="D101" s="38" t="s">
        <v>303</v>
      </c>
      <c r="E101" s="37"/>
      <c r="F101" s="37"/>
      <c r="G101" s="37"/>
      <c r="H101" s="37"/>
      <c r="I101" s="37"/>
      <c r="J101" s="37"/>
      <c r="K101" s="39">
        <v>20</v>
      </c>
      <c r="L101" s="40">
        <f>ROUND((M90+M91+M92+M93+M94+M95+M96+M97+M98+M99+M100)*(1+M2/100),2)</f>
        <v>32.11</v>
      </c>
      <c r="M101" s="40">
        <f>ROUND(K101*L101,2)</f>
        <v>642.20000000000005</v>
      </c>
    </row>
    <row r="102" spans="1:13" ht="169.2" customHeight="1" thickBot="1" x14ac:dyDescent="0.35">
      <c r="A102" s="58" t="s">
        <v>304</v>
      </c>
      <c r="B102" s="59" t="s">
        <v>305</v>
      </c>
      <c r="C102" s="59" t="s">
        <v>306</v>
      </c>
      <c r="D102" s="85" t="s">
        <v>307</v>
      </c>
      <c r="E102" s="85"/>
      <c r="F102" s="85"/>
      <c r="G102" s="85"/>
      <c r="H102" s="85"/>
      <c r="I102" s="85"/>
      <c r="J102" s="85"/>
      <c r="K102" s="60">
        <f>SUM(K104:K104)</f>
        <v>80</v>
      </c>
      <c r="L102" s="61">
        <f>L115</f>
        <v>33.36</v>
      </c>
      <c r="M102" s="61">
        <f>ROUND(K102*L102,2)</f>
        <v>2668.8</v>
      </c>
    </row>
    <row r="103" spans="1:13" ht="15.15" customHeight="1" thickBot="1" x14ac:dyDescent="0.35">
      <c r="A103" s="25"/>
      <c r="B103" s="25"/>
      <c r="C103" s="25"/>
      <c r="D103" s="25"/>
      <c r="E103" s="26"/>
      <c r="F103" s="28" t="s">
        <v>308</v>
      </c>
      <c r="G103" s="28" t="s">
        <v>309</v>
      </c>
      <c r="H103" s="28" t="s">
        <v>310</v>
      </c>
      <c r="I103" s="28" t="s">
        <v>311</v>
      </c>
      <c r="J103" s="28" t="s">
        <v>312</v>
      </c>
      <c r="K103" s="28" t="s">
        <v>313</v>
      </c>
      <c r="L103" s="25"/>
      <c r="M103" s="25"/>
    </row>
    <row r="104" spans="1:13" ht="15.15" customHeight="1" thickBot="1" x14ac:dyDescent="0.35">
      <c r="A104" s="25"/>
      <c r="B104" s="25"/>
      <c r="C104" s="25"/>
      <c r="D104" s="29"/>
      <c r="E104" s="30" t="s">
        <v>314</v>
      </c>
      <c r="F104" s="31"/>
      <c r="G104" s="32">
        <v>80</v>
      </c>
      <c r="H104" s="32"/>
      <c r="I104" s="32"/>
      <c r="J104" s="34">
        <f>ROUND(G104,3)</f>
        <v>80</v>
      </c>
      <c r="K104" s="36">
        <f>SUM(J104:J104)</f>
        <v>80</v>
      </c>
      <c r="L104" s="25"/>
      <c r="M104" s="25"/>
    </row>
    <row r="105" spans="1:13" ht="24.3" customHeight="1" thickBot="1" x14ac:dyDescent="0.35">
      <c r="A105" s="5" t="s">
        <v>315</v>
      </c>
      <c r="B105" s="5" t="s">
        <v>316</v>
      </c>
      <c r="C105" s="5" t="s">
        <v>317</v>
      </c>
      <c r="D105" s="82" t="s">
        <v>318</v>
      </c>
      <c r="E105" s="82"/>
      <c r="F105" s="82"/>
      <c r="G105" s="82"/>
      <c r="H105" s="82"/>
      <c r="I105" s="82"/>
      <c r="J105" s="82"/>
      <c r="K105" s="23">
        <v>7.1999999999999995E-2</v>
      </c>
      <c r="L105" s="23">
        <f>ROUND(34.014,3)</f>
        <v>34.014000000000003</v>
      </c>
      <c r="M105" s="24">
        <f t="shared" ref="M105:M113" si="3">ROUND(K105*L105,2)</f>
        <v>2.4500000000000002</v>
      </c>
    </row>
    <row r="106" spans="1:13" ht="39.75" customHeight="1" thickBot="1" x14ac:dyDescent="0.35">
      <c r="A106" s="5" t="s">
        <v>319</v>
      </c>
      <c r="B106" s="5" t="s">
        <v>320</v>
      </c>
      <c r="C106" s="5" t="s">
        <v>321</v>
      </c>
      <c r="D106" s="82" t="s">
        <v>322</v>
      </c>
      <c r="E106" s="82"/>
      <c r="F106" s="82"/>
      <c r="G106" s="82"/>
      <c r="H106" s="82"/>
      <c r="I106" s="82"/>
      <c r="J106" s="82"/>
      <c r="K106" s="23">
        <v>1.02</v>
      </c>
      <c r="L106" s="23">
        <f>ROUND(14.58,3)</f>
        <v>14.58</v>
      </c>
      <c r="M106" s="24">
        <f t="shared" si="3"/>
        <v>14.87</v>
      </c>
    </row>
    <row r="107" spans="1:13" ht="15.15" customHeight="1" thickBot="1" x14ac:dyDescent="0.35">
      <c r="A107" s="5" t="s">
        <v>323</v>
      </c>
      <c r="B107" s="5" t="s">
        <v>324</v>
      </c>
      <c r="C107" s="5" t="s">
        <v>325</v>
      </c>
      <c r="D107" s="82" t="s">
        <v>326</v>
      </c>
      <c r="E107" s="82"/>
      <c r="F107" s="82"/>
      <c r="G107" s="82"/>
      <c r="H107" s="82"/>
      <c r="I107" s="82"/>
      <c r="J107" s="82"/>
      <c r="K107" s="23">
        <v>6.0000000000000001E-3</v>
      </c>
      <c r="L107" s="23">
        <f>ROUND(12.204,3)</f>
        <v>12.204000000000001</v>
      </c>
      <c r="M107" s="24">
        <f t="shared" si="3"/>
        <v>7.0000000000000007E-2</v>
      </c>
    </row>
    <row r="108" spans="1:13" ht="15.15" customHeight="1" thickBot="1" x14ac:dyDescent="0.35">
      <c r="A108" s="5" t="s">
        <v>327</v>
      </c>
      <c r="B108" s="5" t="s">
        <v>328</v>
      </c>
      <c r="C108" s="5" t="s">
        <v>329</v>
      </c>
      <c r="D108" s="82" t="s">
        <v>330</v>
      </c>
      <c r="E108" s="82"/>
      <c r="F108" s="82"/>
      <c r="G108" s="82"/>
      <c r="H108" s="82"/>
      <c r="I108" s="82"/>
      <c r="J108" s="82"/>
      <c r="K108" s="23">
        <v>0.48899999999999999</v>
      </c>
      <c r="L108" s="23">
        <f>ROUND(10.005,3)</f>
        <v>10.005000000000001</v>
      </c>
      <c r="M108" s="24">
        <f t="shared" si="3"/>
        <v>4.8899999999999997</v>
      </c>
    </row>
    <row r="109" spans="1:13" ht="39.75" customHeight="1" thickBot="1" x14ac:dyDescent="0.35">
      <c r="A109" s="5" t="s">
        <v>331</v>
      </c>
      <c r="B109" s="5" t="s">
        <v>332</v>
      </c>
      <c r="C109" s="5" t="s">
        <v>333</v>
      </c>
      <c r="D109" s="82" t="s">
        <v>334</v>
      </c>
      <c r="E109" s="82"/>
      <c r="F109" s="82"/>
      <c r="G109" s="82"/>
      <c r="H109" s="82"/>
      <c r="I109" s="82"/>
      <c r="J109" s="82"/>
      <c r="K109" s="23">
        <v>2.75</v>
      </c>
      <c r="L109" s="23">
        <f>ROUND(0.5,3)</f>
        <v>0.5</v>
      </c>
      <c r="M109" s="24">
        <f t="shared" si="3"/>
        <v>1.38</v>
      </c>
    </row>
    <row r="110" spans="1:13" ht="15.15" customHeight="1" thickBot="1" x14ac:dyDescent="0.35">
      <c r="A110" s="5" t="s">
        <v>335</v>
      </c>
      <c r="B110" s="5" t="s">
        <v>336</v>
      </c>
      <c r="C110" s="5" t="s">
        <v>337</v>
      </c>
      <c r="D110" s="82" t="s">
        <v>338</v>
      </c>
      <c r="E110" s="82"/>
      <c r="F110" s="82"/>
      <c r="G110" s="82"/>
      <c r="H110" s="82"/>
      <c r="I110" s="82"/>
      <c r="J110" s="82"/>
      <c r="K110" s="23">
        <v>3.1E-2</v>
      </c>
      <c r="L110" s="23">
        <f>ROUND(5.461,3)</f>
        <v>5.4610000000000003</v>
      </c>
      <c r="M110" s="24">
        <f t="shared" si="3"/>
        <v>0.17</v>
      </c>
    </row>
    <row r="111" spans="1:13" ht="15.15" customHeight="1" thickBot="1" x14ac:dyDescent="0.35">
      <c r="A111" s="5" t="s">
        <v>339</v>
      </c>
      <c r="B111" s="5" t="s">
        <v>340</v>
      </c>
      <c r="C111" s="5" t="s">
        <v>341</v>
      </c>
      <c r="D111" s="82" t="s">
        <v>342</v>
      </c>
      <c r="E111" s="82"/>
      <c r="F111" s="82"/>
      <c r="G111" s="82"/>
      <c r="H111" s="82"/>
      <c r="I111" s="82"/>
      <c r="J111" s="82"/>
      <c r="K111" s="23">
        <v>7.4999999999999997E-2</v>
      </c>
      <c r="L111" s="23">
        <f>ROUND(2.059,3)</f>
        <v>2.0590000000000002</v>
      </c>
      <c r="M111" s="24">
        <f t="shared" si="3"/>
        <v>0.15</v>
      </c>
    </row>
    <row r="112" spans="1:13" ht="15.15" customHeight="1" thickBot="1" x14ac:dyDescent="0.35">
      <c r="A112" s="5" t="s">
        <v>343</v>
      </c>
      <c r="B112" s="5" t="s">
        <v>344</v>
      </c>
      <c r="C112" s="5" t="s">
        <v>345</v>
      </c>
      <c r="D112" s="82" t="s">
        <v>346</v>
      </c>
      <c r="E112" s="82"/>
      <c r="F112" s="82"/>
      <c r="G112" s="82"/>
      <c r="H112" s="82"/>
      <c r="I112" s="82"/>
      <c r="J112" s="82"/>
      <c r="K112" s="23">
        <v>9.8000000000000004E-2</v>
      </c>
      <c r="L112" s="23">
        <f>ROUND(30,3)</f>
        <v>30</v>
      </c>
      <c r="M112" s="24">
        <f t="shared" si="3"/>
        <v>2.94</v>
      </c>
    </row>
    <row r="113" spans="1:13" ht="15.15" customHeight="1" thickBot="1" x14ac:dyDescent="0.35">
      <c r="A113" s="5" t="s">
        <v>347</v>
      </c>
      <c r="B113" s="5" t="s">
        <v>348</v>
      </c>
      <c r="C113" s="5" t="s">
        <v>349</v>
      </c>
      <c r="D113" s="82" t="s">
        <v>350</v>
      </c>
      <c r="E113" s="82"/>
      <c r="F113" s="82"/>
      <c r="G113" s="82"/>
      <c r="H113" s="82"/>
      <c r="I113" s="82"/>
      <c r="J113" s="82"/>
      <c r="K113" s="23">
        <v>0.22700000000000001</v>
      </c>
      <c r="L113" s="23">
        <f>ROUND(21.26,3)</f>
        <v>21.26</v>
      </c>
      <c r="M113" s="24">
        <f t="shared" si="3"/>
        <v>4.83</v>
      </c>
    </row>
    <row r="114" spans="1:13" ht="15.15" customHeight="1" thickBot="1" x14ac:dyDescent="0.35">
      <c r="A114" s="5" t="s">
        <v>351</v>
      </c>
      <c r="B114" s="5"/>
      <c r="C114" s="5" t="s">
        <v>352</v>
      </c>
      <c r="D114" s="82" t="s">
        <v>353</v>
      </c>
      <c r="E114" s="82"/>
      <c r="F114" s="82"/>
      <c r="G114" s="82"/>
      <c r="H114" s="82"/>
      <c r="I114" s="82"/>
      <c r="J114" s="82"/>
      <c r="K114" s="23">
        <v>2</v>
      </c>
      <c r="L114" s="23">
        <f>ROUND(31.75,3)</f>
        <v>31.75</v>
      </c>
      <c r="M114" s="24">
        <f>ROUND((K114*L114)/100,2)</f>
        <v>0.64</v>
      </c>
    </row>
    <row r="115" spans="1:13" ht="15.45" customHeight="1" thickBot="1" x14ac:dyDescent="0.35">
      <c r="A115" s="37"/>
      <c r="B115" s="37"/>
      <c r="C115" s="37"/>
      <c r="D115" s="38" t="s">
        <v>354</v>
      </c>
      <c r="E115" s="37"/>
      <c r="F115" s="37"/>
      <c r="G115" s="37"/>
      <c r="H115" s="37"/>
      <c r="I115" s="37"/>
      <c r="J115" s="37"/>
      <c r="K115" s="39">
        <v>80</v>
      </c>
      <c r="L115" s="40">
        <f>ROUND((M105+M106+M107+M108+M109+M110+M111+M112+M113+M114)*(1+M2/100),2)</f>
        <v>33.36</v>
      </c>
      <c r="M115" s="40">
        <f>ROUND(K115*L115,2)</f>
        <v>2668.8</v>
      </c>
    </row>
    <row r="116" spans="1:13" ht="15.45" customHeight="1" thickBot="1" x14ac:dyDescent="0.35">
      <c r="A116" s="41"/>
      <c r="B116" s="41"/>
      <c r="C116" s="41"/>
      <c r="D116" s="42" t="s">
        <v>355</v>
      </c>
      <c r="E116" s="43"/>
      <c r="F116" s="43"/>
      <c r="G116" s="43"/>
      <c r="H116" s="43"/>
      <c r="I116" s="43"/>
      <c r="J116" s="43"/>
      <c r="K116" s="43"/>
      <c r="L116" s="44">
        <f>M86+M102</f>
        <v>3311</v>
      </c>
      <c r="M116" s="44">
        <f>ROUND(L116,2)</f>
        <v>3311</v>
      </c>
    </row>
    <row r="117" spans="1:13" ht="15.45" customHeight="1" thickBot="1" x14ac:dyDescent="0.35">
      <c r="A117" s="41"/>
      <c r="B117" s="41"/>
      <c r="C117" s="41"/>
      <c r="D117" s="45" t="s">
        <v>356</v>
      </c>
      <c r="E117" s="46"/>
      <c r="F117" s="46"/>
      <c r="G117" s="46"/>
      <c r="H117" s="46"/>
      <c r="I117" s="46"/>
      <c r="J117" s="46"/>
      <c r="K117" s="46"/>
      <c r="L117" s="47">
        <f>M116</f>
        <v>3311</v>
      </c>
      <c r="M117" s="47">
        <f>ROUND(L117,2)</f>
        <v>3311</v>
      </c>
    </row>
    <row r="118" spans="1:13" ht="15.45" customHeight="1" thickBot="1" x14ac:dyDescent="0.35">
      <c r="A118" s="62" t="s">
        <v>357</v>
      </c>
      <c r="B118" s="62" t="s">
        <v>358</v>
      </c>
      <c r="C118" s="63"/>
      <c r="D118" s="86" t="s">
        <v>359</v>
      </c>
      <c r="E118" s="86"/>
      <c r="F118" s="86"/>
      <c r="G118" s="86"/>
      <c r="H118" s="86"/>
      <c r="I118" s="86"/>
      <c r="J118" s="86"/>
      <c r="K118" s="63"/>
      <c r="L118" s="64">
        <f>L153</f>
        <v>26235.11</v>
      </c>
      <c r="M118" s="64">
        <f>ROUND(L118,2)</f>
        <v>26235.11</v>
      </c>
    </row>
    <row r="119" spans="1:13" ht="15.45" customHeight="1" thickBot="1" x14ac:dyDescent="0.35">
      <c r="A119" s="20" t="s">
        <v>360</v>
      </c>
      <c r="B119" s="20" t="s">
        <v>361</v>
      </c>
      <c r="C119" s="21"/>
      <c r="D119" s="81" t="s">
        <v>362</v>
      </c>
      <c r="E119" s="81"/>
      <c r="F119" s="81"/>
      <c r="G119" s="81"/>
      <c r="H119" s="81"/>
      <c r="I119" s="81"/>
      <c r="J119" s="81"/>
      <c r="K119" s="21"/>
      <c r="L119" s="22">
        <f>L152</f>
        <v>26235.11</v>
      </c>
      <c r="M119" s="22">
        <f>ROUND(L119,2)</f>
        <v>26235.11</v>
      </c>
    </row>
    <row r="120" spans="1:13" ht="49.05" customHeight="1" thickBot="1" x14ac:dyDescent="0.35">
      <c r="A120" s="10" t="s">
        <v>363</v>
      </c>
      <c r="B120" s="5" t="s">
        <v>364</v>
      </c>
      <c r="C120" s="5" t="s">
        <v>365</v>
      </c>
      <c r="D120" s="82" t="s">
        <v>366</v>
      </c>
      <c r="E120" s="82"/>
      <c r="F120" s="82"/>
      <c r="G120" s="82"/>
      <c r="H120" s="82"/>
      <c r="I120" s="82"/>
      <c r="J120" s="82"/>
      <c r="K120" s="23">
        <f>SUM(K122:K122)</f>
        <v>866.65</v>
      </c>
      <c r="L120" s="24">
        <f>L134</f>
        <v>25.31</v>
      </c>
      <c r="M120" s="24">
        <f>ROUND(K120*L120,2)</f>
        <v>21934.91</v>
      </c>
    </row>
    <row r="121" spans="1:13" ht="15.15" customHeight="1" thickBot="1" x14ac:dyDescent="0.35">
      <c r="A121" s="25"/>
      <c r="B121" s="25"/>
      <c r="C121" s="25"/>
      <c r="D121" s="25"/>
      <c r="E121" s="26"/>
      <c r="F121" s="28" t="s">
        <v>367</v>
      </c>
      <c r="G121" s="28" t="s">
        <v>368</v>
      </c>
      <c r="H121" s="28" t="s">
        <v>369</v>
      </c>
      <c r="I121" s="28" t="s">
        <v>370</v>
      </c>
      <c r="J121" s="28" t="s">
        <v>371</v>
      </c>
      <c r="K121" s="28" t="s">
        <v>372</v>
      </c>
      <c r="L121" s="25"/>
      <c r="M121" s="25"/>
    </row>
    <row r="122" spans="1:13" ht="15.15" customHeight="1" thickBot="1" x14ac:dyDescent="0.35">
      <c r="A122" s="25"/>
      <c r="B122" s="25"/>
      <c r="C122" s="25"/>
      <c r="D122" s="29"/>
      <c r="E122" s="30" t="s">
        <v>373</v>
      </c>
      <c r="F122" s="31"/>
      <c r="G122" s="32"/>
      <c r="H122" s="32"/>
      <c r="I122" s="32">
        <v>866.65</v>
      </c>
      <c r="J122" s="34">
        <f>ROUND(I122,3)</f>
        <v>866.65</v>
      </c>
      <c r="K122" s="36">
        <f>SUM(J122:J122)</f>
        <v>866.65</v>
      </c>
      <c r="L122" s="25"/>
      <c r="M122" s="25"/>
    </row>
    <row r="123" spans="1:13" ht="15.15" customHeight="1" thickBot="1" x14ac:dyDescent="0.35">
      <c r="A123" s="5" t="s">
        <v>374</v>
      </c>
      <c r="B123" s="5" t="s">
        <v>375</v>
      </c>
      <c r="C123" s="5" t="s">
        <v>376</v>
      </c>
      <c r="D123" s="82" t="s">
        <v>377</v>
      </c>
      <c r="E123" s="82"/>
      <c r="F123" s="82"/>
      <c r="G123" s="82"/>
      <c r="H123" s="82"/>
      <c r="I123" s="82"/>
      <c r="J123" s="82"/>
      <c r="K123" s="23">
        <v>2</v>
      </c>
      <c r="L123" s="23">
        <f>ROUND(0.56,3)</f>
        <v>0.56000000000000005</v>
      </c>
      <c r="M123" s="24">
        <f t="shared" ref="M123:M132" si="4">ROUND(K123*L123,2)</f>
        <v>1.1200000000000001</v>
      </c>
    </row>
    <row r="124" spans="1:13" ht="15.15" customHeight="1" thickBot="1" x14ac:dyDescent="0.35">
      <c r="A124" s="5" t="s">
        <v>378</v>
      </c>
      <c r="B124" s="5" t="s">
        <v>379</v>
      </c>
      <c r="C124" s="5" t="s">
        <v>380</v>
      </c>
      <c r="D124" s="82" t="s">
        <v>381</v>
      </c>
      <c r="E124" s="82"/>
      <c r="F124" s="82"/>
      <c r="G124" s="82"/>
      <c r="H124" s="82"/>
      <c r="I124" s="82"/>
      <c r="J124" s="82"/>
      <c r="K124" s="23">
        <v>1.2</v>
      </c>
      <c r="L124" s="23">
        <f>ROUND(1.333,3)</f>
        <v>1.333</v>
      </c>
      <c r="M124" s="24">
        <f t="shared" si="4"/>
        <v>1.6</v>
      </c>
    </row>
    <row r="125" spans="1:13" ht="24.3" customHeight="1" thickBot="1" x14ac:dyDescent="0.35">
      <c r="A125" s="5" t="s">
        <v>382</v>
      </c>
      <c r="B125" s="5" t="s">
        <v>383</v>
      </c>
      <c r="C125" s="5" t="s">
        <v>384</v>
      </c>
      <c r="D125" s="82" t="s">
        <v>385</v>
      </c>
      <c r="E125" s="82"/>
      <c r="F125" s="82"/>
      <c r="G125" s="82"/>
      <c r="H125" s="82"/>
      <c r="I125" s="82"/>
      <c r="J125" s="82"/>
      <c r="K125" s="23">
        <v>0.26300000000000001</v>
      </c>
      <c r="L125" s="23">
        <f>ROUND(46.221,3)</f>
        <v>46.220999999999997</v>
      </c>
      <c r="M125" s="24">
        <f t="shared" si="4"/>
        <v>12.16</v>
      </c>
    </row>
    <row r="126" spans="1:13" ht="21.3" customHeight="1" thickBot="1" x14ac:dyDescent="0.35">
      <c r="A126" s="5" t="s">
        <v>386</v>
      </c>
      <c r="B126" s="5" t="s">
        <v>387</v>
      </c>
      <c r="C126" s="5" t="s">
        <v>388</v>
      </c>
      <c r="D126" s="82" t="s">
        <v>389</v>
      </c>
      <c r="E126" s="82"/>
      <c r="F126" s="82"/>
      <c r="G126" s="82"/>
      <c r="H126" s="82"/>
      <c r="I126" s="82"/>
      <c r="J126" s="82"/>
      <c r="K126" s="23">
        <v>0.05</v>
      </c>
      <c r="L126" s="23">
        <f>ROUND(1.114,3)</f>
        <v>1.1140000000000001</v>
      </c>
      <c r="M126" s="24">
        <f t="shared" si="4"/>
        <v>0.06</v>
      </c>
    </row>
    <row r="127" spans="1:13" ht="15.15" customHeight="1" thickBot="1" x14ac:dyDescent="0.35">
      <c r="A127" s="5" t="s">
        <v>390</v>
      </c>
      <c r="B127" s="5" t="s">
        <v>391</v>
      </c>
      <c r="C127" s="5" t="s">
        <v>392</v>
      </c>
      <c r="D127" s="82" t="s">
        <v>393</v>
      </c>
      <c r="E127" s="82"/>
      <c r="F127" s="82"/>
      <c r="G127" s="82"/>
      <c r="H127" s="82"/>
      <c r="I127" s="82"/>
      <c r="J127" s="82"/>
      <c r="K127" s="23">
        <v>9.1999999999999998E-2</v>
      </c>
      <c r="L127" s="23">
        <f>ROUND(2.728,3)</f>
        <v>2.7280000000000002</v>
      </c>
      <c r="M127" s="24">
        <f t="shared" si="4"/>
        <v>0.25</v>
      </c>
    </row>
    <row r="128" spans="1:13" ht="15.15" customHeight="1" thickBot="1" x14ac:dyDescent="0.35">
      <c r="A128" s="5" t="s">
        <v>394</v>
      </c>
      <c r="B128" s="5" t="s">
        <v>395</v>
      </c>
      <c r="C128" s="5" t="s">
        <v>396</v>
      </c>
      <c r="D128" s="82" t="s">
        <v>397</v>
      </c>
      <c r="E128" s="82"/>
      <c r="F128" s="82"/>
      <c r="G128" s="82"/>
      <c r="H128" s="82"/>
      <c r="I128" s="82"/>
      <c r="J128" s="82"/>
      <c r="K128" s="23">
        <v>0.115</v>
      </c>
      <c r="L128" s="23">
        <f>ROUND(5.555,3)</f>
        <v>5.5549999999999997</v>
      </c>
      <c r="M128" s="24">
        <f t="shared" si="4"/>
        <v>0.64</v>
      </c>
    </row>
    <row r="129" spans="1:13" ht="15.15" customHeight="1" thickBot="1" x14ac:dyDescent="0.35">
      <c r="A129" s="5" t="s">
        <v>398</v>
      </c>
      <c r="B129" s="5" t="s">
        <v>399</v>
      </c>
      <c r="C129" s="5" t="s">
        <v>400</v>
      </c>
      <c r="D129" s="82" t="s">
        <v>401</v>
      </c>
      <c r="E129" s="82"/>
      <c r="F129" s="82"/>
      <c r="G129" s="82"/>
      <c r="H129" s="82"/>
      <c r="I129" s="82"/>
      <c r="J129" s="82"/>
      <c r="K129" s="23">
        <v>6.9000000000000006E-2</v>
      </c>
      <c r="L129" s="23">
        <f>ROUND(21.26,3)</f>
        <v>21.26</v>
      </c>
      <c r="M129" s="24">
        <f t="shared" si="4"/>
        <v>1.47</v>
      </c>
    </row>
    <row r="130" spans="1:13" ht="15.15" customHeight="1" thickBot="1" x14ac:dyDescent="0.35">
      <c r="A130" s="5" t="s">
        <v>402</v>
      </c>
      <c r="B130" s="5" t="s">
        <v>403</v>
      </c>
      <c r="C130" s="5" t="s">
        <v>404</v>
      </c>
      <c r="D130" s="82" t="s">
        <v>405</v>
      </c>
      <c r="E130" s="82"/>
      <c r="F130" s="82"/>
      <c r="G130" s="82"/>
      <c r="H130" s="82"/>
      <c r="I130" s="82"/>
      <c r="J130" s="82"/>
      <c r="K130" s="23">
        <v>0.106</v>
      </c>
      <c r="L130" s="23">
        <f>ROUND(30,3)</f>
        <v>30</v>
      </c>
      <c r="M130" s="24">
        <f t="shared" si="4"/>
        <v>3.18</v>
      </c>
    </row>
    <row r="131" spans="1:13" ht="15.15" customHeight="1" thickBot="1" x14ac:dyDescent="0.35">
      <c r="A131" s="5" t="s">
        <v>406</v>
      </c>
      <c r="B131" s="5" t="s">
        <v>407</v>
      </c>
      <c r="C131" s="5" t="s">
        <v>408</v>
      </c>
      <c r="D131" s="82" t="s">
        <v>409</v>
      </c>
      <c r="E131" s="82"/>
      <c r="F131" s="82"/>
      <c r="G131" s="82"/>
      <c r="H131" s="82"/>
      <c r="I131" s="82"/>
      <c r="J131" s="82"/>
      <c r="K131" s="23">
        <v>0.106</v>
      </c>
      <c r="L131" s="23">
        <f>ROUND(21,3)</f>
        <v>21</v>
      </c>
      <c r="M131" s="24">
        <f t="shared" si="4"/>
        <v>2.23</v>
      </c>
    </row>
    <row r="132" spans="1:13" ht="15.15" customHeight="1" thickBot="1" x14ac:dyDescent="0.35">
      <c r="A132" s="5" t="s">
        <v>410</v>
      </c>
      <c r="B132" s="5" t="s">
        <v>411</v>
      </c>
      <c r="C132" s="5" t="s">
        <v>412</v>
      </c>
      <c r="D132" s="82" t="s">
        <v>413</v>
      </c>
      <c r="E132" s="82"/>
      <c r="F132" s="82"/>
      <c r="G132" s="82"/>
      <c r="H132" s="82"/>
      <c r="I132" s="82"/>
      <c r="J132" s="82"/>
      <c r="K132" s="23">
        <v>5.2999999999999999E-2</v>
      </c>
      <c r="L132" s="23">
        <f>ROUND(26,3)</f>
        <v>26</v>
      </c>
      <c r="M132" s="24">
        <f t="shared" si="4"/>
        <v>1.38</v>
      </c>
    </row>
    <row r="133" spans="1:13" ht="15.15" customHeight="1" thickBot="1" x14ac:dyDescent="0.35">
      <c r="A133" s="5" t="s">
        <v>414</v>
      </c>
      <c r="B133" s="5"/>
      <c r="C133" s="5" t="s">
        <v>415</v>
      </c>
      <c r="D133" s="82" t="s">
        <v>416</v>
      </c>
      <c r="E133" s="82"/>
      <c r="F133" s="82"/>
      <c r="G133" s="82"/>
      <c r="H133" s="82"/>
      <c r="I133" s="82"/>
      <c r="J133" s="82"/>
      <c r="K133" s="23">
        <v>2</v>
      </c>
      <c r="L133" s="23">
        <f>ROUND(24.09,3)</f>
        <v>24.09</v>
      </c>
      <c r="M133" s="24">
        <f>ROUND((K133*L133)/100,2)</f>
        <v>0.48</v>
      </c>
    </row>
    <row r="134" spans="1:13" ht="15.45" customHeight="1" thickBot="1" x14ac:dyDescent="0.35">
      <c r="A134" s="37"/>
      <c r="B134" s="37"/>
      <c r="C134" s="37"/>
      <c r="D134" s="38" t="s">
        <v>417</v>
      </c>
      <c r="E134" s="37"/>
      <c r="F134" s="37"/>
      <c r="G134" s="37"/>
      <c r="H134" s="37"/>
      <c r="I134" s="37"/>
      <c r="J134" s="37"/>
      <c r="K134" s="39">
        <v>866.65</v>
      </c>
      <c r="L134" s="40">
        <f>ROUND((M123+M124+M125+M126+M127+M128+M129+M130+M131+M132+M133)*(1+M2/100),2)</f>
        <v>25.31</v>
      </c>
      <c r="M134" s="40">
        <f>ROUND(K134*L134,2)</f>
        <v>21934.91</v>
      </c>
    </row>
    <row r="135" spans="1:13" ht="49.05" customHeight="1" thickBot="1" x14ac:dyDescent="0.35">
      <c r="A135" s="58" t="s">
        <v>418</v>
      </c>
      <c r="B135" s="59" t="s">
        <v>419</v>
      </c>
      <c r="C135" s="59" t="s">
        <v>420</v>
      </c>
      <c r="D135" s="85" t="s">
        <v>421</v>
      </c>
      <c r="E135" s="85"/>
      <c r="F135" s="85"/>
      <c r="G135" s="85"/>
      <c r="H135" s="85"/>
      <c r="I135" s="85"/>
      <c r="J135" s="85"/>
      <c r="K135" s="60">
        <f>SUM(K137:K139)</f>
        <v>246.43</v>
      </c>
      <c r="L135" s="61">
        <f>L151</f>
        <v>17.45</v>
      </c>
      <c r="M135" s="61">
        <f>ROUND(K135*L135,2)</f>
        <v>4300.2</v>
      </c>
    </row>
    <row r="136" spans="1:13" ht="15.15" customHeight="1" thickBot="1" x14ac:dyDescent="0.35">
      <c r="A136" s="25"/>
      <c r="B136" s="25"/>
      <c r="C136" s="25"/>
      <c r="D136" s="25"/>
      <c r="E136" s="26"/>
      <c r="F136" s="28" t="s">
        <v>422</v>
      </c>
      <c r="G136" s="28" t="s">
        <v>423</v>
      </c>
      <c r="H136" s="28" t="s">
        <v>424</v>
      </c>
      <c r="I136" s="28" t="s">
        <v>425</v>
      </c>
      <c r="J136" s="28" t="s">
        <v>426</v>
      </c>
      <c r="K136" s="28" t="s">
        <v>427</v>
      </c>
      <c r="L136" s="25"/>
      <c r="M136" s="25"/>
    </row>
    <row r="137" spans="1:13" ht="21.3" customHeight="1" thickBot="1" x14ac:dyDescent="0.35">
      <c r="A137" s="25"/>
      <c r="B137" s="25"/>
      <c r="C137" s="25"/>
      <c r="D137" s="29"/>
      <c r="E137" s="30" t="s">
        <v>428</v>
      </c>
      <c r="F137" s="31"/>
      <c r="G137" s="32"/>
      <c r="H137" s="32"/>
      <c r="I137" s="32">
        <v>246.43</v>
      </c>
      <c r="J137" s="34">
        <f>ROUND(I137,3)</f>
        <v>246.43</v>
      </c>
      <c r="K137" s="57"/>
      <c r="L137" s="25"/>
      <c r="M137" s="25"/>
    </row>
    <row r="138" spans="1:13" ht="15.15" customHeight="1" thickBot="1" x14ac:dyDescent="0.35">
      <c r="A138" s="25"/>
      <c r="B138" s="25"/>
      <c r="C138" s="25"/>
      <c r="D138" s="29"/>
      <c r="E138" s="5"/>
      <c r="F138" s="3"/>
      <c r="G138" s="23"/>
      <c r="H138" s="23"/>
      <c r="I138" s="23"/>
      <c r="J138" s="27" t="s">
        <v>429</v>
      </c>
      <c r="K138" s="25"/>
      <c r="L138" s="25"/>
      <c r="M138" s="25"/>
    </row>
    <row r="139" spans="1:13" ht="15.15" customHeight="1" thickBot="1" x14ac:dyDescent="0.35">
      <c r="A139" s="25"/>
      <c r="B139" s="25"/>
      <c r="C139" s="25"/>
      <c r="D139" s="29"/>
      <c r="E139" s="5"/>
      <c r="F139" s="3"/>
      <c r="G139" s="23"/>
      <c r="H139" s="23"/>
      <c r="I139" s="23"/>
      <c r="J139" s="27" t="s">
        <v>430</v>
      </c>
      <c r="K139" s="35">
        <f>SUM(J137:J139)</f>
        <v>246.43</v>
      </c>
      <c r="L139" s="25"/>
      <c r="M139" s="25"/>
    </row>
    <row r="140" spans="1:13" ht="15.15" customHeight="1" thickBot="1" x14ac:dyDescent="0.35">
      <c r="A140" s="5" t="s">
        <v>431</v>
      </c>
      <c r="B140" s="5" t="s">
        <v>432</v>
      </c>
      <c r="C140" s="5" t="s">
        <v>433</v>
      </c>
      <c r="D140" s="82" t="s">
        <v>434</v>
      </c>
      <c r="E140" s="82"/>
      <c r="F140" s="82"/>
      <c r="G140" s="82"/>
      <c r="H140" s="82"/>
      <c r="I140" s="82"/>
      <c r="J140" s="82"/>
      <c r="K140" s="23">
        <v>2</v>
      </c>
      <c r="L140" s="23">
        <f>ROUND(0.56,3)</f>
        <v>0.56000000000000005</v>
      </c>
      <c r="M140" s="24">
        <f t="shared" ref="M140:M149" si="5">ROUND(K140*L140,2)</f>
        <v>1.1200000000000001</v>
      </c>
    </row>
    <row r="141" spans="1:13" ht="15.15" customHeight="1" thickBot="1" x14ac:dyDescent="0.35">
      <c r="A141" s="5" t="s">
        <v>435</v>
      </c>
      <c r="B141" s="5" t="s">
        <v>436</v>
      </c>
      <c r="C141" s="5" t="s">
        <v>437</v>
      </c>
      <c r="D141" s="82" t="s">
        <v>438</v>
      </c>
      <c r="E141" s="82"/>
      <c r="F141" s="82"/>
      <c r="G141" s="82"/>
      <c r="H141" s="82"/>
      <c r="I141" s="82"/>
      <c r="J141" s="82"/>
      <c r="K141" s="23">
        <v>1.2</v>
      </c>
      <c r="L141" s="23">
        <f>ROUND(1.333,3)</f>
        <v>1.333</v>
      </c>
      <c r="M141" s="24">
        <f t="shared" si="5"/>
        <v>1.6</v>
      </c>
    </row>
    <row r="142" spans="1:13" ht="24.3" customHeight="1" thickBot="1" x14ac:dyDescent="0.35">
      <c r="A142" s="5" t="s">
        <v>439</v>
      </c>
      <c r="B142" s="5" t="s">
        <v>440</v>
      </c>
      <c r="C142" s="5" t="s">
        <v>441</v>
      </c>
      <c r="D142" s="82" t="s">
        <v>442</v>
      </c>
      <c r="E142" s="82"/>
      <c r="F142" s="82"/>
      <c r="G142" s="82"/>
      <c r="H142" s="82"/>
      <c r="I142" s="82"/>
      <c r="J142" s="82"/>
      <c r="K142" s="23">
        <v>0.158</v>
      </c>
      <c r="L142" s="23">
        <f>ROUND(46.221,3)</f>
        <v>46.220999999999997</v>
      </c>
      <c r="M142" s="24">
        <f t="shared" si="5"/>
        <v>7.3</v>
      </c>
    </row>
    <row r="143" spans="1:13" ht="21.3" customHeight="1" thickBot="1" x14ac:dyDescent="0.35">
      <c r="A143" s="5" t="s">
        <v>443</v>
      </c>
      <c r="B143" s="5" t="s">
        <v>444</v>
      </c>
      <c r="C143" s="5" t="s">
        <v>445</v>
      </c>
      <c r="D143" s="82" t="s">
        <v>446</v>
      </c>
      <c r="E143" s="82"/>
      <c r="F143" s="82"/>
      <c r="G143" s="82"/>
      <c r="H143" s="82"/>
      <c r="I143" s="82"/>
      <c r="J143" s="82"/>
      <c r="K143" s="23">
        <v>0.05</v>
      </c>
      <c r="L143" s="23">
        <f>ROUND(1.114,3)</f>
        <v>1.1140000000000001</v>
      </c>
      <c r="M143" s="24">
        <f t="shared" si="5"/>
        <v>0.06</v>
      </c>
    </row>
    <row r="144" spans="1:13" ht="15.15" customHeight="1" thickBot="1" x14ac:dyDescent="0.35">
      <c r="A144" s="5" t="s">
        <v>447</v>
      </c>
      <c r="B144" s="5" t="s">
        <v>448</v>
      </c>
      <c r="C144" s="5" t="s">
        <v>449</v>
      </c>
      <c r="D144" s="82" t="s">
        <v>450</v>
      </c>
      <c r="E144" s="82"/>
      <c r="F144" s="82"/>
      <c r="G144" s="82"/>
      <c r="H144" s="82"/>
      <c r="I144" s="82"/>
      <c r="J144" s="82"/>
      <c r="K144" s="23">
        <v>8.6999999999999994E-2</v>
      </c>
      <c r="L144" s="23">
        <f>ROUND(2.728,3)</f>
        <v>2.7280000000000002</v>
      </c>
      <c r="M144" s="24">
        <f t="shared" si="5"/>
        <v>0.24</v>
      </c>
    </row>
    <row r="145" spans="1:13" ht="15.15" customHeight="1" thickBot="1" x14ac:dyDescent="0.35">
      <c r="A145" s="5" t="s">
        <v>451</v>
      </c>
      <c r="B145" s="5" t="s">
        <v>452</v>
      </c>
      <c r="C145" s="5" t="s">
        <v>453</v>
      </c>
      <c r="D145" s="82" t="s">
        <v>454</v>
      </c>
      <c r="E145" s="82"/>
      <c r="F145" s="82"/>
      <c r="G145" s="82"/>
      <c r="H145" s="82"/>
      <c r="I145" s="82"/>
      <c r="J145" s="82"/>
      <c r="K145" s="23">
        <v>9.1999999999999998E-2</v>
      </c>
      <c r="L145" s="23">
        <f>ROUND(5.555,3)</f>
        <v>5.5549999999999997</v>
      </c>
      <c r="M145" s="24">
        <f t="shared" si="5"/>
        <v>0.51</v>
      </c>
    </row>
    <row r="146" spans="1:13" ht="15.15" customHeight="1" thickBot="1" x14ac:dyDescent="0.35">
      <c r="A146" s="5" t="s">
        <v>455</v>
      </c>
      <c r="B146" s="5" t="s">
        <v>456</v>
      </c>
      <c r="C146" s="5" t="s">
        <v>457</v>
      </c>
      <c r="D146" s="82" t="s">
        <v>458</v>
      </c>
      <c r="E146" s="82"/>
      <c r="F146" s="82"/>
      <c r="G146" s="82"/>
      <c r="H146" s="82"/>
      <c r="I146" s="82"/>
      <c r="J146" s="82"/>
      <c r="K146" s="23">
        <v>5.5E-2</v>
      </c>
      <c r="L146" s="23">
        <f>ROUND(21.26,3)</f>
        <v>21.26</v>
      </c>
      <c r="M146" s="24">
        <f t="shared" si="5"/>
        <v>1.17</v>
      </c>
    </row>
    <row r="147" spans="1:13" ht="15.15" customHeight="1" thickBot="1" x14ac:dyDescent="0.35">
      <c r="A147" s="5" t="s">
        <v>459</v>
      </c>
      <c r="B147" s="5" t="s">
        <v>460</v>
      </c>
      <c r="C147" s="5" t="s">
        <v>461</v>
      </c>
      <c r="D147" s="82" t="s">
        <v>462</v>
      </c>
      <c r="E147" s="82"/>
      <c r="F147" s="82"/>
      <c r="G147" s="82"/>
      <c r="H147" s="82"/>
      <c r="I147" s="82"/>
      <c r="J147" s="82"/>
      <c r="K147" s="23">
        <v>7.1999999999999995E-2</v>
      </c>
      <c r="L147" s="23">
        <f>ROUND(30,3)</f>
        <v>30</v>
      </c>
      <c r="M147" s="24">
        <f t="shared" si="5"/>
        <v>2.16</v>
      </c>
    </row>
    <row r="148" spans="1:13" ht="15.15" customHeight="1" thickBot="1" x14ac:dyDescent="0.35">
      <c r="A148" s="5" t="s">
        <v>463</v>
      </c>
      <c r="B148" s="5" t="s">
        <v>464</v>
      </c>
      <c r="C148" s="5" t="s">
        <v>465</v>
      </c>
      <c r="D148" s="82" t="s">
        <v>466</v>
      </c>
      <c r="E148" s="82"/>
      <c r="F148" s="82"/>
      <c r="G148" s="82"/>
      <c r="H148" s="82"/>
      <c r="I148" s="82"/>
      <c r="J148" s="82"/>
      <c r="K148" s="23">
        <v>7.1999999999999995E-2</v>
      </c>
      <c r="L148" s="23">
        <f>ROUND(21,3)</f>
        <v>21</v>
      </c>
      <c r="M148" s="24">
        <f t="shared" si="5"/>
        <v>1.51</v>
      </c>
    </row>
    <row r="149" spans="1:13" ht="15.15" customHeight="1" thickBot="1" x14ac:dyDescent="0.35">
      <c r="A149" s="5" t="s">
        <v>467</v>
      </c>
      <c r="B149" s="5" t="s">
        <v>468</v>
      </c>
      <c r="C149" s="5" t="s">
        <v>469</v>
      </c>
      <c r="D149" s="82" t="s">
        <v>470</v>
      </c>
      <c r="E149" s="82"/>
      <c r="F149" s="82"/>
      <c r="G149" s="82"/>
      <c r="H149" s="82"/>
      <c r="I149" s="82"/>
      <c r="J149" s="82"/>
      <c r="K149" s="23">
        <v>3.5999999999999997E-2</v>
      </c>
      <c r="L149" s="23">
        <f>ROUND(26,3)</f>
        <v>26</v>
      </c>
      <c r="M149" s="24">
        <f t="shared" si="5"/>
        <v>0.94</v>
      </c>
    </row>
    <row r="150" spans="1:13" ht="15.15" customHeight="1" thickBot="1" x14ac:dyDescent="0.35">
      <c r="A150" s="5" t="s">
        <v>471</v>
      </c>
      <c r="B150" s="5"/>
      <c r="C150" s="5" t="s">
        <v>472</v>
      </c>
      <c r="D150" s="82" t="s">
        <v>473</v>
      </c>
      <c r="E150" s="82"/>
      <c r="F150" s="82"/>
      <c r="G150" s="82"/>
      <c r="H150" s="82"/>
      <c r="I150" s="82"/>
      <c r="J150" s="82"/>
      <c r="K150" s="23">
        <v>2</v>
      </c>
      <c r="L150" s="23">
        <f>ROUND(16.61,3)</f>
        <v>16.61</v>
      </c>
      <c r="M150" s="24">
        <f>ROUND((K150*L150)/100,2)</f>
        <v>0.33</v>
      </c>
    </row>
    <row r="151" spans="1:13" ht="15.45" customHeight="1" thickBot="1" x14ac:dyDescent="0.35">
      <c r="A151" s="37"/>
      <c r="B151" s="37"/>
      <c r="C151" s="37"/>
      <c r="D151" s="38" t="s">
        <v>474</v>
      </c>
      <c r="E151" s="37"/>
      <c r="F151" s="37"/>
      <c r="G151" s="37"/>
      <c r="H151" s="37"/>
      <c r="I151" s="37"/>
      <c r="J151" s="37"/>
      <c r="K151" s="39">
        <v>246.43</v>
      </c>
      <c r="L151" s="40">
        <f>ROUND((M140+M141+M142+M143+M144+M145+M146+M147+M148+M149+M150)*(1+M2/100),2)</f>
        <v>17.45</v>
      </c>
      <c r="M151" s="40">
        <f>ROUND(K151*L151,2)</f>
        <v>4300.2</v>
      </c>
    </row>
    <row r="152" spans="1:13" ht="15.45" customHeight="1" thickBot="1" x14ac:dyDescent="0.35">
      <c r="A152" s="41"/>
      <c r="B152" s="41"/>
      <c r="C152" s="41"/>
      <c r="D152" s="42" t="s">
        <v>475</v>
      </c>
      <c r="E152" s="43"/>
      <c r="F152" s="43"/>
      <c r="G152" s="43"/>
      <c r="H152" s="43"/>
      <c r="I152" s="43"/>
      <c r="J152" s="43"/>
      <c r="K152" s="43"/>
      <c r="L152" s="44">
        <f>M120+M135</f>
        <v>26235.11</v>
      </c>
      <c r="M152" s="44">
        <f t="shared" ref="M152:M157" si="6">ROUND(L152,2)</f>
        <v>26235.11</v>
      </c>
    </row>
    <row r="153" spans="1:13" ht="15.45" customHeight="1" thickBot="1" x14ac:dyDescent="0.35">
      <c r="A153" s="41"/>
      <c r="B153" s="41"/>
      <c r="C153" s="41"/>
      <c r="D153" s="45" t="s">
        <v>476</v>
      </c>
      <c r="E153" s="46"/>
      <c r="F153" s="46"/>
      <c r="G153" s="46"/>
      <c r="H153" s="46"/>
      <c r="I153" s="46"/>
      <c r="J153" s="46"/>
      <c r="K153" s="46"/>
      <c r="L153" s="47">
        <f>M152</f>
        <v>26235.11</v>
      </c>
      <c r="M153" s="47">
        <f t="shared" si="6"/>
        <v>26235.11</v>
      </c>
    </row>
    <row r="154" spans="1:13" ht="15.45" customHeight="1" thickBot="1" x14ac:dyDescent="0.35">
      <c r="A154" s="41"/>
      <c r="B154" s="41"/>
      <c r="C154" s="41"/>
      <c r="D154" s="48" t="s">
        <v>477</v>
      </c>
      <c r="E154" s="49"/>
      <c r="F154" s="49"/>
      <c r="G154" s="49"/>
      <c r="H154" s="49"/>
      <c r="I154" s="49"/>
      <c r="J154" s="49"/>
      <c r="K154" s="49"/>
      <c r="L154" s="50">
        <f>M83+M117+M153</f>
        <v>60544.66</v>
      </c>
      <c r="M154" s="50">
        <f t="shared" si="6"/>
        <v>60544.66</v>
      </c>
    </row>
    <row r="155" spans="1:13" ht="15.45" customHeight="1" thickBot="1" x14ac:dyDescent="0.35">
      <c r="A155" s="51" t="s">
        <v>478</v>
      </c>
      <c r="B155" s="51" t="s">
        <v>479</v>
      </c>
      <c r="C155" s="52"/>
      <c r="D155" s="83" t="s">
        <v>480</v>
      </c>
      <c r="E155" s="83"/>
      <c r="F155" s="83"/>
      <c r="G155" s="83"/>
      <c r="H155" s="83"/>
      <c r="I155" s="83"/>
      <c r="J155" s="83"/>
      <c r="K155" s="52"/>
      <c r="L155" s="53">
        <f>L258</f>
        <v>91534.25</v>
      </c>
      <c r="M155" s="53">
        <f t="shared" si="6"/>
        <v>91534.25</v>
      </c>
    </row>
    <row r="156" spans="1:13" ht="15.45" customHeight="1" thickBot="1" x14ac:dyDescent="0.35">
      <c r="A156" s="17" t="s">
        <v>481</v>
      </c>
      <c r="B156" s="17" t="s">
        <v>482</v>
      </c>
      <c r="C156" s="18"/>
      <c r="D156" s="80" t="s">
        <v>483</v>
      </c>
      <c r="E156" s="80"/>
      <c r="F156" s="80"/>
      <c r="G156" s="80"/>
      <c r="H156" s="80"/>
      <c r="I156" s="80"/>
      <c r="J156" s="80"/>
      <c r="K156" s="18"/>
      <c r="L156" s="19">
        <f>L167</f>
        <v>121.04</v>
      </c>
      <c r="M156" s="19">
        <f t="shared" si="6"/>
        <v>121.04</v>
      </c>
    </row>
    <row r="157" spans="1:13" ht="15.45" customHeight="1" thickBot="1" x14ac:dyDescent="0.35">
      <c r="A157" s="20" t="s">
        <v>484</v>
      </c>
      <c r="B157" s="20" t="s">
        <v>485</v>
      </c>
      <c r="C157" s="21"/>
      <c r="D157" s="81" t="s">
        <v>486</v>
      </c>
      <c r="E157" s="81"/>
      <c r="F157" s="81"/>
      <c r="G157" s="81"/>
      <c r="H157" s="81"/>
      <c r="I157" s="81"/>
      <c r="J157" s="81"/>
      <c r="K157" s="21"/>
      <c r="L157" s="22">
        <f>L166</f>
        <v>121.04</v>
      </c>
      <c r="M157" s="22">
        <f t="shared" si="6"/>
        <v>121.04</v>
      </c>
    </row>
    <row r="158" spans="1:13" ht="21.3" customHeight="1" thickBot="1" x14ac:dyDescent="0.35">
      <c r="A158" s="10" t="s">
        <v>487</v>
      </c>
      <c r="B158" s="5" t="s">
        <v>488</v>
      </c>
      <c r="C158" s="5" t="s">
        <v>489</v>
      </c>
      <c r="D158" s="82" t="s">
        <v>490</v>
      </c>
      <c r="E158" s="82"/>
      <c r="F158" s="82"/>
      <c r="G158" s="82"/>
      <c r="H158" s="82"/>
      <c r="I158" s="82"/>
      <c r="J158" s="82"/>
      <c r="K158" s="23">
        <f>SUM(K160:K160)</f>
        <v>25.27</v>
      </c>
      <c r="L158" s="24">
        <f>L165</f>
        <v>4.79</v>
      </c>
      <c r="M158" s="24">
        <f>ROUND(K158*L158,2)</f>
        <v>121.04</v>
      </c>
    </row>
    <row r="159" spans="1:13" ht="15.15" customHeight="1" thickBot="1" x14ac:dyDescent="0.35">
      <c r="A159" s="25"/>
      <c r="B159" s="25"/>
      <c r="C159" s="25"/>
      <c r="D159" s="25"/>
      <c r="E159" s="26"/>
      <c r="F159" s="28" t="s">
        <v>491</v>
      </c>
      <c r="G159" s="28" t="s">
        <v>492</v>
      </c>
      <c r="H159" s="28" t="s">
        <v>493</v>
      </c>
      <c r="I159" s="28" t="s">
        <v>494</v>
      </c>
      <c r="J159" s="28" t="s">
        <v>495</v>
      </c>
      <c r="K159" s="28" t="s">
        <v>496</v>
      </c>
      <c r="L159" s="25"/>
      <c r="M159" s="25"/>
    </row>
    <row r="160" spans="1:13" ht="15.15" customHeight="1" thickBot="1" x14ac:dyDescent="0.35">
      <c r="A160" s="25"/>
      <c r="B160" s="25"/>
      <c r="C160" s="25"/>
      <c r="D160" s="29"/>
      <c r="E160" s="30" t="s">
        <v>497</v>
      </c>
      <c r="F160" s="31"/>
      <c r="G160" s="32"/>
      <c r="H160" s="32"/>
      <c r="I160" s="32">
        <v>25.27</v>
      </c>
      <c r="J160" s="34">
        <f>ROUND(I160,3)</f>
        <v>25.27</v>
      </c>
      <c r="K160" s="36">
        <f>SUM(J160:J160)</f>
        <v>25.27</v>
      </c>
      <c r="L160" s="25"/>
      <c r="M160" s="25"/>
    </row>
    <row r="161" spans="1:13" ht="15.15" customHeight="1" thickBot="1" x14ac:dyDescent="0.35">
      <c r="A161" s="5" t="s">
        <v>498</v>
      </c>
      <c r="B161" s="5" t="s">
        <v>499</v>
      </c>
      <c r="C161" s="5" t="s">
        <v>500</v>
      </c>
      <c r="D161" s="82" t="s">
        <v>501</v>
      </c>
      <c r="E161" s="82"/>
      <c r="F161" s="82"/>
      <c r="G161" s="82"/>
      <c r="H161" s="82"/>
      <c r="I161" s="82"/>
      <c r="J161" s="82"/>
      <c r="K161" s="23">
        <v>0.105</v>
      </c>
      <c r="L161" s="23">
        <f>ROUND(40.433,3)</f>
        <v>40.433</v>
      </c>
      <c r="M161" s="24">
        <f>ROUND(K161*L161,2)</f>
        <v>4.25</v>
      </c>
    </row>
    <row r="162" spans="1:13" ht="15.15" customHeight="1" thickBot="1" x14ac:dyDescent="0.35">
      <c r="A162" s="5" t="s">
        <v>502</v>
      </c>
      <c r="B162" s="5" t="s">
        <v>503</v>
      </c>
      <c r="C162" s="5" t="s">
        <v>504</v>
      </c>
      <c r="D162" s="82" t="s">
        <v>505</v>
      </c>
      <c r="E162" s="82"/>
      <c r="F162" s="82"/>
      <c r="G162" s="82"/>
      <c r="H162" s="82"/>
      <c r="I162" s="82"/>
      <c r="J162" s="82"/>
      <c r="K162" s="23">
        <v>5.0000000000000001E-3</v>
      </c>
      <c r="L162" s="23">
        <f>ROUND(24.02,3)</f>
        <v>24.02</v>
      </c>
      <c r="M162" s="24">
        <f>ROUND(K162*L162,2)</f>
        <v>0.12</v>
      </c>
    </row>
    <row r="163" spans="1:13" ht="15.15" customHeight="1" thickBot="1" x14ac:dyDescent="0.35">
      <c r="A163" s="5" t="s">
        <v>506</v>
      </c>
      <c r="B163" s="5" t="s">
        <v>507</v>
      </c>
      <c r="C163" s="5" t="s">
        <v>508</v>
      </c>
      <c r="D163" s="82" t="s">
        <v>509</v>
      </c>
      <c r="E163" s="82"/>
      <c r="F163" s="82"/>
      <c r="G163" s="82"/>
      <c r="H163" s="82"/>
      <c r="I163" s="82"/>
      <c r="J163" s="82"/>
      <c r="K163" s="23">
        <v>8.9999999999999993E-3</v>
      </c>
      <c r="L163" s="23">
        <f>ROUND(21.49,3)</f>
        <v>21.49</v>
      </c>
      <c r="M163" s="24">
        <f>ROUND(K163*L163,2)</f>
        <v>0.19</v>
      </c>
    </row>
    <row r="164" spans="1:13" ht="15.15" customHeight="1" thickBot="1" x14ac:dyDescent="0.35">
      <c r="A164" s="5" t="s">
        <v>510</v>
      </c>
      <c r="B164" s="5"/>
      <c r="C164" s="5" t="s">
        <v>511</v>
      </c>
      <c r="D164" s="82" t="s">
        <v>512</v>
      </c>
      <c r="E164" s="82"/>
      <c r="F164" s="82"/>
      <c r="G164" s="82"/>
      <c r="H164" s="82"/>
      <c r="I164" s="82"/>
      <c r="J164" s="82"/>
      <c r="K164" s="23">
        <v>2</v>
      </c>
      <c r="L164" s="23">
        <f>ROUND(4.56,3)</f>
        <v>4.5599999999999996</v>
      </c>
      <c r="M164" s="24">
        <f>ROUND((K164*L164)/100,2)</f>
        <v>0.09</v>
      </c>
    </row>
    <row r="165" spans="1:13" ht="15.45" customHeight="1" thickBot="1" x14ac:dyDescent="0.35">
      <c r="A165" s="37"/>
      <c r="B165" s="37"/>
      <c r="C165" s="37"/>
      <c r="D165" s="38" t="s">
        <v>513</v>
      </c>
      <c r="E165" s="37"/>
      <c r="F165" s="37"/>
      <c r="G165" s="37"/>
      <c r="H165" s="37"/>
      <c r="I165" s="37"/>
      <c r="J165" s="37"/>
      <c r="K165" s="39">
        <v>25.27</v>
      </c>
      <c r="L165" s="40">
        <f>ROUND((M161+M162+M163+M164)*(1+M2/100),2)</f>
        <v>4.79</v>
      </c>
      <c r="M165" s="40">
        <f>ROUND(K165*L165,2)</f>
        <v>121.04</v>
      </c>
    </row>
    <row r="166" spans="1:13" ht="15.45" customHeight="1" thickBot="1" x14ac:dyDescent="0.35">
      <c r="A166" s="41"/>
      <c r="B166" s="41"/>
      <c r="C166" s="41"/>
      <c r="D166" s="42" t="s">
        <v>514</v>
      </c>
      <c r="E166" s="43"/>
      <c r="F166" s="43"/>
      <c r="G166" s="43"/>
      <c r="H166" s="43"/>
      <c r="I166" s="43"/>
      <c r="J166" s="43"/>
      <c r="K166" s="43"/>
      <c r="L166" s="44">
        <f>M158</f>
        <v>121.04</v>
      </c>
      <c r="M166" s="44">
        <f>ROUND(L166,2)</f>
        <v>121.04</v>
      </c>
    </row>
    <row r="167" spans="1:13" ht="15.45" customHeight="1" thickBot="1" x14ac:dyDescent="0.35">
      <c r="A167" s="41"/>
      <c r="B167" s="41"/>
      <c r="C167" s="41"/>
      <c r="D167" s="45" t="s">
        <v>515</v>
      </c>
      <c r="E167" s="46"/>
      <c r="F167" s="46"/>
      <c r="G167" s="46"/>
      <c r="H167" s="46"/>
      <c r="I167" s="46"/>
      <c r="J167" s="46"/>
      <c r="K167" s="46"/>
      <c r="L167" s="47">
        <f>M166</f>
        <v>121.04</v>
      </c>
      <c r="M167" s="47">
        <f>ROUND(L167,2)</f>
        <v>121.04</v>
      </c>
    </row>
    <row r="168" spans="1:13" ht="15.45" customHeight="1" thickBot="1" x14ac:dyDescent="0.35">
      <c r="A168" s="62" t="s">
        <v>516</v>
      </c>
      <c r="B168" s="62" t="s">
        <v>517</v>
      </c>
      <c r="C168" s="63"/>
      <c r="D168" s="86" t="s">
        <v>518</v>
      </c>
      <c r="E168" s="86"/>
      <c r="F168" s="86"/>
      <c r="G168" s="86"/>
      <c r="H168" s="86"/>
      <c r="I168" s="86"/>
      <c r="J168" s="86"/>
      <c r="K168" s="63"/>
      <c r="L168" s="64">
        <f>L195</f>
        <v>59182.34</v>
      </c>
      <c r="M168" s="64">
        <f>ROUND(L168,2)</f>
        <v>59182.34</v>
      </c>
    </row>
    <row r="169" spans="1:13" ht="15.45" customHeight="1" thickBot="1" x14ac:dyDescent="0.35">
      <c r="A169" s="20" t="s">
        <v>519</v>
      </c>
      <c r="B169" s="20" t="s">
        <v>520</v>
      </c>
      <c r="C169" s="21"/>
      <c r="D169" s="81" t="s">
        <v>521</v>
      </c>
      <c r="E169" s="81"/>
      <c r="F169" s="81"/>
      <c r="G169" s="81"/>
      <c r="H169" s="81"/>
      <c r="I169" s="81"/>
      <c r="J169" s="81"/>
      <c r="K169" s="21"/>
      <c r="L169" s="22">
        <f>L194</f>
        <v>59182.340000000004</v>
      </c>
      <c r="M169" s="22">
        <f>ROUND(L169,2)</f>
        <v>59182.34</v>
      </c>
    </row>
    <row r="170" spans="1:13" ht="30.6" customHeight="1" thickBot="1" x14ac:dyDescent="0.35">
      <c r="A170" s="10" t="s">
        <v>522</v>
      </c>
      <c r="B170" s="5" t="s">
        <v>523</v>
      </c>
      <c r="C170" s="5" t="s">
        <v>524</v>
      </c>
      <c r="D170" s="82" t="s">
        <v>525</v>
      </c>
      <c r="E170" s="82"/>
      <c r="F170" s="82"/>
      <c r="G170" s="82"/>
      <c r="H170" s="82"/>
      <c r="I170" s="82"/>
      <c r="J170" s="82"/>
      <c r="K170" s="23">
        <f>SUM(K172:K172)</f>
        <v>240.18</v>
      </c>
      <c r="L170" s="24">
        <f>L182</f>
        <v>199.53</v>
      </c>
      <c r="M170" s="24">
        <f>ROUND(K170*L170,2)</f>
        <v>47923.12</v>
      </c>
    </row>
    <row r="171" spans="1:13" ht="15.15" customHeight="1" thickBot="1" x14ac:dyDescent="0.35">
      <c r="A171" s="25"/>
      <c r="B171" s="25"/>
      <c r="C171" s="25"/>
      <c r="D171" s="25"/>
      <c r="E171" s="26"/>
      <c r="F171" s="28" t="s">
        <v>526</v>
      </c>
      <c r="G171" s="28" t="s">
        <v>527</v>
      </c>
      <c r="H171" s="28" t="s">
        <v>528</v>
      </c>
      <c r="I171" s="28" t="s">
        <v>529</v>
      </c>
      <c r="J171" s="28" t="s">
        <v>530</v>
      </c>
      <c r="K171" s="28" t="s">
        <v>531</v>
      </c>
      <c r="L171" s="25"/>
      <c r="M171" s="25"/>
    </row>
    <row r="172" spans="1:13" ht="15.15" customHeight="1" thickBot="1" x14ac:dyDescent="0.35">
      <c r="A172" s="25"/>
      <c r="B172" s="25"/>
      <c r="C172" s="25"/>
      <c r="D172" s="29"/>
      <c r="E172" s="30" t="s">
        <v>532</v>
      </c>
      <c r="F172" s="31"/>
      <c r="G172" s="32"/>
      <c r="H172" s="32"/>
      <c r="I172" s="32">
        <v>240.18</v>
      </c>
      <c r="J172" s="34">
        <f>ROUND(I172,3)</f>
        <v>240.18</v>
      </c>
      <c r="K172" s="36">
        <f>SUM(J172:J172)</f>
        <v>240.18</v>
      </c>
      <c r="L172" s="25"/>
      <c r="M172" s="25"/>
    </row>
    <row r="173" spans="1:13" ht="15.15" customHeight="1" thickBot="1" x14ac:dyDescent="0.35">
      <c r="A173" s="5" t="s">
        <v>533</v>
      </c>
      <c r="B173" s="5" t="s">
        <v>534</v>
      </c>
      <c r="C173" s="5" t="s">
        <v>535</v>
      </c>
      <c r="D173" s="82" t="s">
        <v>536</v>
      </c>
      <c r="E173" s="82"/>
      <c r="F173" s="82"/>
      <c r="G173" s="82"/>
      <c r="H173" s="82"/>
      <c r="I173" s="82"/>
      <c r="J173" s="82"/>
      <c r="K173" s="23">
        <v>8</v>
      </c>
      <c r="L173" s="23">
        <f>ROUND(0.032,3)</f>
        <v>3.2000000000000001E-2</v>
      </c>
      <c r="M173" s="24">
        <f t="shared" ref="M173:M180" si="7">ROUND(K173*L173,2)</f>
        <v>0.26</v>
      </c>
    </row>
    <row r="174" spans="1:13" ht="21.3" customHeight="1" thickBot="1" x14ac:dyDescent="0.35">
      <c r="A174" s="5" t="s">
        <v>537</v>
      </c>
      <c r="B174" s="5" t="s">
        <v>538</v>
      </c>
      <c r="C174" s="5" t="s">
        <v>539</v>
      </c>
      <c r="D174" s="82" t="s">
        <v>540</v>
      </c>
      <c r="E174" s="82"/>
      <c r="F174" s="82"/>
      <c r="G174" s="82"/>
      <c r="H174" s="82"/>
      <c r="I174" s="82"/>
      <c r="J174" s="82"/>
      <c r="K174" s="23">
        <v>128.37700000000001</v>
      </c>
      <c r="L174" s="23">
        <f>ROUND(0.644,3)</f>
        <v>0.64400000000000002</v>
      </c>
      <c r="M174" s="24">
        <f t="shared" si="7"/>
        <v>82.67</v>
      </c>
    </row>
    <row r="175" spans="1:13" ht="15.15" customHeight="1" thickBot="1" x14ac:dyDescent="0.35">
      <c r="A175" s="5" t="s">
        <v>541</v>
      </c>
      <c r="B175" s="5" t="s">
        <v>542</v>
      </c>
      <c r="C175" s="5" t="s">
        <v>543</v>
      </c>
      <c r="D175" s="82" t="s">
        <v>544</v>
      </c>
      <c r="E175" s="82"/>
      <c r="F175" s="82"/>
      <c r="G175" s="82"/>
      <c r="H175" s="82"/>
      <c r="I175" s="82"/>
      <c r="J175" s="82"/>
      <c r="K175" s="23">
        <v>1.6359999999999999</v>
      </c>
      <c r="L175" s="23">
        <f>ROUND(0.792,3)</f>
        <v>0.79200000000000004</v>
      </c>
      <c r="M175" s="24">
        <f t="shared" si="7"/>
        <v>1.3</v>
      </c>
    </row>
    <row r="176" spans="1:13" ht="24.3" customHeight="1" thickBot="1" x14ac:dyDescent="0.35">
      <c r="A176" s="5" t="s">
        <v>545</v>
      </c>
      <c r="B176" s="5" t="s">
        <v>546</v>
      </c>
      <c r="C176" s="5" t="s">
        <v>547</v>
      </c>
      <c r="D176" s="82" t="s">
        <v>548</v>
      </c>
      <c r="E176" s="82"/>
      <c r="F176" s="82"/>
      <c r="G176" s="82"/>
      <c r="H176" s="82"/>
      <c r="I176" s="82"/>
      <c r="J176" s="82"/>
      <c r="K176" s="23">
        <v>1.05</v>
      </c>
      <c r="L176" s="23">
        <f>ROUND(56.511,3)</f>
        <v>56.511000000000003</v>
      </c>
      <c r="M176" s="24">
        <f t="shared" si="7"/>
        <v>59.34</v>
      </c>
    </row>
    <row r="177" spans="1:13" ht="15.15" customHeight="1" thickBot="1" x14ac:dyDescent="0.35">
      <c r="A177" s="5" t="s">
        <v>549</v>
      </c>
      <c r="B177" s="5" t="s">
        <v>550</v>
      </c>
      <c r="C177" s="5" t="s">
        <v>551</v>
      </c>
      <c r="D177" s="82" t="s">
        <v>552</v>
      </c>
      <c r="E177" s="82"/>
      <c r="F177" s="82"/>
      <c r="G177" s="82"/>
      <c r="H177" s="82"/>
      <c r="I177" s="82"/>
      <c r="J177" s="82"/>
      <c r="K177" s="23">
        <v>0.66900000000000004</v>
      </c>
      <c r="L177" s="23">
        <f>ROUND(24.02,3)</f>
        <v>24.02</v>
      </c>
      <c r="M177" s="24">
        <f t="shared" si="7"/>
        <v>16.07</v>
      </c>
    </row>
    <row r="178" spans="1:13" ht="15.15" customHeight="1" thickBot="1" x14ac:dyDescent="0.35">
      <c r="A178" s="5" t="s">
        <v>553</v>
      </c>
      <c r="B178" s="5" t="s">
        <v>554</v>
      </c>
      <c r="C178" s="5" t="s">
        <v>555</v>
      </c>
      <c r="D178" s="82" t="s">
        <v>556</v>
      </c>
      <c r="E178" s="82"/>
      <c r="F178" s="82"/>
      <c r="G178" s="82"/>
      <c r="H178" s="82"/>
      <c r="I178" s="82"/>
      <c r="J178" s="82"/>
      <c r="K178" s="23">
        <v>0.85199999999999998</v>
      </c>
      <c r="L178" s="23">
        <f>ROUND(21.49,3)</f>
        <v>21.49</v>
      </c>
      <c r="M178" s="24">
        <f t="shared" si="7"/>
        <v>18.309999999999999</v>
      </c>
    </row>
    <row r="179" spans="1:13" ht="15.15" customHeight="1" thickBot="1" x14ac:dyDescent="0.35">
      <c r="A179" s="5" t="s">
        <v>557</v>
      </c>
      <c r="B179" s="5" t="s">
        <v>558</v>
      </c>
      <c r="C179" s="5" t="s">
        <v>559</v>
      </c>
      <c r="D179" s="82" t="s">
        <v>560</v>
      </c>
      <c r="E179" s="82"/>
      <c r="F179" s="82"/>
      <c r="G179" s="82"/>
      <c r="H179" s="82"/>
      <c r="I179" s="82"/>
      <c r="J179" s="82"/>
      <c r="K179" s="23">
        <v>0.109</v>
      </c>
      <c r="L179" s="23">
        <f>ROUND(24.02,3)</f>
        <v>24.02</v>
      </c>
      <c r="M179" s="24">
        <f t="shared" si="7"/>
        <v>2.62</v>
      </c>
    </row>
    <row r="180" spans="1:13" ht="15.15" customHeight="1" thickBot="1" x14ac:dyDescent="0.35">
      <c r="A180" s="5" t="s">
        <v>561</v>
      </c>
      <c r="B180" s="5" t="s">
        <v>562</v>
      </c>
      <c r="C180" s="5" t="s">
        <v>563</v>
      </c>
      <c r="D180" s="82" t="s">
        <v>564</v>
      </c>
      <c r="E180" s="82"/>
      <c r="F180" s="82"/>
      <c r="G180" s="82"/>
      <c r="H180" s="82"/>
      <c r="I180" s="82"/>
      <c r="J180" s="82"/>
      <c r="K180" s="23">
        <v>0.435</v>
      </c>
      <c r="L180" s="23">
        <f>ROUND(21.49,3)</f>
        <v>21.49</v>
      </c>
      <c r="M180" s="24">
        <f t="shared" si="7"/>
        <v>9.35</v>
      </c>
    </row>
    <row r="181" spans="1:13" ht="15.15" customHeight="1" thickBot="1" x14ac:dyDescent="0.35">
      <c r="A181" s="5" t="s">
        <v>565</v>
      </c>
      <c r="B181" s="5"/>
      <c r="C181" s="5" t="s">
        <v>566</v>
      </c>
      <c r="D181" s="82" t="s">
        <v>567</v>
      </c>
      <c r="E181" s="82"/>
      <c r="F181" s="82"/>
      <c r="G181" s="82"/>
      <c r="H181" s="82"/>
      <c r="I181" s="82"/>
      <c r="J181" s="82"/>
      <c r="K181" s="23">
        <v>2</v>
      </c>
      <c r="L181" s="23">
        <f>ROUND(189.92,3)</f>
        <v>189.92</v>
      </c>
      <c r="M181" s="24">
        <f>ROUND((K181*L181)/100,2)</f>
        <v>3.8</v>
      </c>
    </row>
    <row r="182" spans="1:13" ht="15.45" customHeight="1" thickBot="1" x14ac:dyDescent="0.35">
      <c r="A182" s="37"/>
      <c r="B182" s="37"/>
      <c r="C182" s="37"/>
      <c r="D182" s="38" t="s">
        <v>568</v>
      </c>
      <c r="E182" s="37"/>
      <c r="F182" s="37"/>
      <c r="G182" s="37"/>
      <c r="H182" s="37"/>
      <c r="I182" s="37"/>
      <c r="J182" s="37"/>
      <c r="K182" s="39">
        <v>240.18</v>
      </c>
      <c r="L182" s="40">
        <f>ROUND((M173+M174+M175+M176+M177+M178+M179+M180+M181)*(1+M2/100),2)</f>
        <v>199.53</v>
      </c>
      <c r="M182" s="40">
        <f>ROUND(K182*L182,2)</f>
        <v>47923.12</v>
      </c>
    </row>
    <row r="183" spans="1:13" ht="49.05" customHeight="1" thickBot="1" x14ac:dyDescent="0.35">
      <c r="A183" s="58" t="s">
        <v>569</v>
      </c>
      <c r="B183" s="59" t="s">
        <v>570</v>
      </c>
      <c r="C183" s="59" t="s">
        <v>571</v>
      </c>
      <c r="D183" s="85" t="s">
        <v>572</v>
      </c>
      <c r="E183" s="85"/>
      <c r="F183" s="85"/>
      <c r="G183" s="85"/>
      <c r="H183" s="85"/>
      <c r="I183" s="85"/>
      <c r="J183" s="85"/>
      <c r="K183" s="60">
        <f>SUM(K185:K185)</f>
        <v>622.4</v>
      </c>
      <c r="L183" s="61">
        <f>L193</f>
        <v>18.09</v>
      </c>
      <c r="M183" s="61">
        <f>ROUND(K183*L183,2)</f>
        <v>11259.22</v>
      </c>
    </row>
    <row r="184" spans="1:13" ht="15.15" customHeight="1" thickBot="1" x14ac:dyDescent="0.35">
      <c r="A184" s="25"/>
      <c r="B184" s="25"/>
      <c r="C184" s="25"/>
      <c r="D184" s="25"/>
      <c r="E184" s="26"/>
      <c r="F184" s="28" t="s">
        <v>573</v>
      </c>
      <c r="G184" s="28" t="s">
        <v>574</v>
      </c>
      <c r="H184" s="28" t="s">
        <v>575</v>
      </c>
      <c r="I184" s="28" t="s">
        <v>576</v>
      </c>
      <c r="J184" s="28" t="s">
        <v>577</v>
      </c>
      <c r="K184" s="28" t="s">
        <v>578</v>
      </c>
      <c r="L184" s="25"/>
      <c r="M184" s="25"/>
    </row>
    <row r="185" spans="1:13" ht="15.15" customHeight="1" thickBot="1" x14ac:dyDescent="0.35">
      <c r="A185" s="25"/>
      <c r="B185" s="25"/>
      <c r="C185" s="25"/>
      <c r="D185" s="29"/>
      <c r="E185" s="30" t="s">
        <v>579</v>
      </c>
      <c r="F185" s="31"/>
      <c r="G185" s="32">
        <v>80</v>
      </c>
      <c r="H185" s="32"/>
      <c r="I185" s="32">
        <v>7.78</v>
      </c>
      <c r="J185" s="34">
        <f>ROUND(G185*I185,3)</f>
        <v>622.4</v>
      </c>
      <c r="K185" s="36">
        <f>SUM(J185:J185)</f>
        <v>622.4</v>
      </c>
      <c r="L185" s="25"/>
      <c r="M185" s="25"/>
    </row>
    <row r="186" spans="1:13" ht="15.15" customHeight="1" thickBot="1" x14ac:dyDescent="0.35">
      <c r="A186" s="5" t="s">
        <v>580</v>
      </c>
      <c r="B186" s="5" t="s">
        <v>581</v>
      </c>
      <c r="C186" s="5" t="s">
        <v>582</v>
      </c>
      <c r="D186" s="82" t="s">
        <v>583</v>
      </c>
      <c r="E186" s="82"/>
      <c r="F186" s="82"/>
      <c r="G186" s="82"/>
      <c r="H186" s="82"/>
      <c r="I186" s="82"/>
      <c r="J186" s="82"/>
      <c r="K186" s="23">
        <v>7.0000000000000001E-3</v>
      </c>
      <c r="L186" s="23">
        <f>ROUND(105.346,3)</f>
        <v>105.346</v>
      </c>
      <c r="M186" s="24">
        <f t="shared" ref="M186:M191" si="8">ROUND(K186*L186,2)</f>
        <v>0.74</v>
      </c>
    </row>
    <row r="187" spans="1:13" ht="21.3" customHeight="1" thickBot="1" x14ac:dyDescent="0.35">
      <c r="A187" s="5" t="s">
        <v>584</v>
      </c>
      <c r="B187" s="5" t="s">
        <v>585</v>
      </c>
      <c r="C187" s="5" t="s">
        <v>586</v>
      </c>
      <c r="D187" s="82" t="s">
        <v>587</v>
      </c>
      <c r="E187" s="82"/>
      <c r="F187" s="82"/>
      <c r="G187" s="82"/>
      <c r="H187" s="82"/>
      <c r="I187" s="82"/>
      <c r="J187" s="82"/>
      <c r="K187" s="23">
        <v>5.0000000000000001E-3</v>
      </c>
      <c r="L187" s="23">
        <f>ROUND(217.394,3)</f>
        <v>217.39400000000001</v>
      </c>
      <c r="M187" s="24">
        <f t="shared" si="8"/>
        <v>1.0900000000000001</v>
      </c>
    </row>
    <row r="188" spans="1:13" ht="15.15" customHeight="1" thickBot="1" x14ac:dyDescent="0.35">
      <c r="A188" s="5" t="s">
        <v>588</v>
      </c>
      <c r="B188" s="5" t="s">
        <v>589</v>
      </c>
      <c r="C188" s="5" t="s">
        <v>590</v>
      </c>
      <c r="D188" s="82" t="s">
        <v>591</v>
      </c>
      <c r="E188" s="82"/>
      <c r="F188" s="82"/>
      <c r="G188" s="82"/>
      <c r="H188" s="82"/>
      <c r="I188" s="82"/>
      <c r="J188" s="82"/>
      <c r="K188" s="23">
        <v>0.03</v>
      </c>
      <c r="L188" s="23">
        <f>ROUND(0.949,3)</f>
        <v>0.94899999999999995</v>
      </c>
      <c r="M188" s="24">
        <f t="shared" si="8"/>
        <v>0.03</v>
      </c>
    </row>
    <row r="189" spans="1:13" ht="15.15" customHeight="1" thickBot="1" x14ac:dyDescent="0.35">
      <c r="A189" s="5" t="s">
        <v>592</v>
      </c>
      <c r="B189" s="5" t="s">
        <v>593</v>
      </c>
      <c r="C189" s="5" t="s">
        <v>594</v>
      </c>
      <c r="D189" s="82" t="s">
        <v>595</v>
      </c>
      <c r="E189" s="82"/>
      <c r="F189" s="82"/>
      <c r="G189" s="82"/>
      <c r="H189" s="82"/>
      <c r="I189" s="82"/>
      <c r="J189" s="82"/>
      <c r="K189" s="23">
        <v>0.4</v>
      </c>
      <c r="L189" s="23">
        <f>ROUND(0.721,3)</f>
        <v>0.72099999999999997</v>
      </c>
      <c r="M189" s="24">
        <f t="shared" si="8"/>
        <v>0.28999999999999998</v>
      </c>
    </row>
    <row r="190" spans="1:13" ht="15.15" customHeight="1" thickBot="1" x14ac:dyDescent="0.35">
      <c r="A190" s="5" t="s">
        <v>596</v>
      </c>
      <c r="B190" s="5" t="s">
        <v>597</v>
      </c>
      <c r="C190" s="5" t="s">
        <v>598</v>
      </c>
      <c r="D190" s="82" t="s">
        <v>599</v>
      </c>
      <c r="E190" s="82"/>
      <c r="F190" s="82"/>
      <c r="G190" s="82"/>
      <c r="H190" s="82"/>
      <c r="I190" s="82"/>
      <c r="J190" s="82"/>
      <c r="K190" s="23">
        <v>0.317</v>
      </c>
      <c r="L190" s="23">
        <f>ROUND(24.02,3)</f>
        <v>24.02</v>
      </c>
      <c r="M190" s="24">
        <f t="shared" si="8"/>
        <v>7.61</v>
      </c>
    </row>
    <row r="191" spans="1:13" ht="15.15" customHeight="1" thickBot="1" x14ac:dyDescent="0.35">
      <c r="A191" s="5" t="s">
        <v>600</v>
      </c>
      <c r="B191" s="5" t="s">
        <v>601</v>
      </c>
      <c r="C191" s="5" t="s">
        <v>602</v>
      </c>
      <c r="D191" s="82" t="s">
        <v>603</v>
      </c>
      <c r="E191" s="82"/>
      <c r="F191" s="82"/>
      <c r="G191" s="82"/>
      <c r="H191" s="82"/>
      <c r="I191" s="82"/>
      <c r="J191" s="82"/>
      <c r="K191" s="23">
        <v>0.34699999999999998</v>
      </c>
      <c r="L191" s="23">
        <f>ROUND(21.49,3)</f>
        <v>21.49</v>
      </c>
      <c r="M191" s="24">
        <f t="shared" si="8"/>
        <v>7.46</v>
      </c>
    </row>
    <row r="192" spans="1:13" ht="15.15" customHeight="1" thickBot="1" x14ac:dyDescent="0.35">
      <c r="A192" s="5" t="s">
        <v>604</v>
      </c>
      <c r="B192" s="5"/>
      <c r="C192" s="5" t="s">
        <v>605</v>
      </c>
      <c r="D192" s="82" t="s">
        <v>606</v>
      </c>
      <c r="E192" s="82"/>
      <c r="F192" s="82"/>
      <c r="G192" s="82"/>
      <c r="H192" s="82"/>
      <c r="I192" s="82"/>
      <c r="J192" s="82"/>
      <c r="K192" s="23">
        <v>2</v>
      </c>
      <c r="L192" s="23">
        <f>ROUND(17.22,3)</f>
        <v>17.22</v>
      </c>
      <c r="M192" s="24">
        <f>ROUND((K192*L192)/100,2)</f>
        <v>0.34</v>
      </c>
    </row>
    <row r="193" spans="1:13" ht="15.45" customHeight="1" thickBot="1" x14ac:dyDescent="0.35">
      <c r="A193" s="37"/>
      <c r="B193" s="37"/>
      <c r="C193" s="37"/>
      <c r="D193" s="38" t="s">
        <v>607</v>
      </c>
      <c r="E193" s="37"/>
      <c r="F193" s="37"/>
      <c r="G193" s="37"/>
      <c r="H193" s="37"/>
      <c r="I193" s="37"/>
      <c r="J193" s="37"/>
      <c r="K193" s="39">
        <v>622.4</v>
      </c>
      <c r="L193" s="40">
        <f>ROUND((M186+M187+M188+M189+M190+M191+M192)*(1+M2/100),2)</f>
        <v>18.09</v>
      </c>
      <c r="M193" s="40">
        <f>ROUND(K193*L193,2)</f>
        <v>11259.22</v>
      </c>
    </row>
    <row r="194" spans="1:13" ht="15.45" customHeight="1" thickBot="1" x14ac:dyDescent="0.35">
      <c r="A194" s="41"/>
      <c r="B194" s="41"/>
      <c r="C194" s="41"/>
      <c r="D194" s="42" t="s">
        <v>608</v>
      </c>
      <c r="E194" s="43"/>
      <c r="F194" s="43"/>
      <c r="G194" s="43"/>
      <c r="H194" s="43"/>
      <c r="I194" s="43"/>
      <c r="J194" s="43"/>
      <c r="K194" s="43"/>
      <c r="L194" s="44">
        <f>M170+M183</f>
        <v>59182.340000000004</v>
      </c>
      <c r="M194" s="44">
        <f>ROUND(L194,2)</f>
        <v>59182.34</v>
      </c>
    </row>
    <row r="195" spans="1:13" ht="15.45" customHeight="1" thickBot="1" x14ac:dyDescent="0.35">
      <c r="A195" s="41"/>
      <c r="B195" s="41"/>
      <c r="C195" s="41"/>
      <c r="D195" s="45" t="s">
        <v>609</v>
      </c>
      <c r="E195" s="46"/>
      <c r="F195" s="46"/>
      <c r="G195" s="46"/>
      <c r="H195" s="46"/>
      <c r="I195" s="46"/>
      <c r="J195" s="46"/>
      <c r="K195" s="46"/>
      <c r="L195" s="47">
        <f>M194</f>
        <v>59182.34</v>
      </c>
      <c r="M195" s="47">
        <f>ROUND(L195,2)</f>
        <v>59182.34</v>
      </c>
    </row>
    <row r="196" spans="1:13" ht="15.45" customHeight="1" thickBot="1" x14ac:dyDescent="0.35">
      <c r="A196" s="62" t="s">
        <v>610</v>
      </c>
      <c r="B196" s="62" t="s">
        <v>611</v>
      </c>
      <c r="C196" s="63"/>
      <c r="D196" s="86" t="s">
        <v>612</v>
      </c>
      <c r="E196" s="86"/>
      <c r="F196" s="86"/>
      <c r="G196" s="86"/>
      <c r="H196" s="86"/>
      <c r="I196" s="86"/>
      <c r="J196" s="86"/>
      <c r="K196" s="63"/>
      <c r="L196" s="64">
        <f>L227</f>
        <v>29444.29</v>
      </c>
      <c r="M196" s="64">
        <f>ROUND(L196,2)</f>
        <v>29444.29</v>
      </c>
    </row>
    <row r="197" spans="1:13" ht="15.45" customHeight="1" thickBot="1" x14ac:dyDescent="0.35">
      <c r="A197" s="20" t="s">
        <v>613</v>
      </c>
      <c r="B197" s="20" t="s">
        <v>614</v>
      </c>
      <c r="C197" s="21"/>
      <c r="D197" s="81" t="s">
        <v>615</v>
      </c>
      <c r="E197" s="81"/>
      <c r="F197" s="81"/>
      <c r="G197" s="81"/>
      <c r="H197" s="81"/>
      <c r="I197" s="81"/>
      <c r="J197" s="81"/>
      <c r="K197" s="21"/>
      <c r="L197" s="22">
        <f>L211</f>
        <v>18131.89</v>
      </c>
      <c r="M197" s="22">
        <f>ROUND(L197,2)</f>
        <v>18131.89</v>
      </c>
    </row>
    <row r="198" spans="1:13" ht="30.6" customHeight="1" thickBot="1" x14ac:dyDescent="0.35">
      <c r="A198" s="10" t="s">
        <v>616</v>
      </c>
      <c r="B198" s="5" t="s">
        <v>617</v>
      </c>
      <c r="C198" s="5" t="s">
        <v>618</v>
      </c>
      <c r="D198" s="82" t="s">
        <v>619</v>
      </c>
      <c r="E198" s="82"/>
      <c r="F198" s="82"/>
      <c r="G198" s="82"/>
      <c r="H198" s="82"/>
      <c r="I198" s="82"/>
      <c r="J198" s="82"/>
      <c r="K198" s="23">
        <f>SUM(K200:K200)</f>
        <v>146.06</v>
      </c>
      <c r="L198" s="24">
        <f>L210</f>
        <v>124.14</v>
      </c>
      <c r="M198" s="24">
        <f>ROUND(K198*L198,2)</f>
        <v>18131.89</v>
      </c>
    </row>
    <row r="199" spans="1:13" ht="15.15" customHeight="1" thickBot="1" x14ac:dyDescent="0.35">
      <c r="A199" s="25"/>
      <c r="B199" s="25"/>
      <c r="C199" s="25"/>
      <c r="D199" s="25"/>
      <c r="E199" s="26"/>
      <c r="F199" s="28" t="s">
        <v>620</v>
      </c>
      <c r="G199" s="28" t="s">
        <v>621</v>
      </c>
      <c r="H199" s="28" t="s">
        <v>622</v>
      </c>
      <c r="I199" s="28" t="s">
        <v>623</v>
      </c>
      <c r="J199" s="28" t="s">
        <v>624</v>
      </c>
      <c r="K199" s="28" t="s">
        <v>625</v>
      </c>
      <c r="L199" s="25"/>
      <c r="M199" s="25"/>
    </row>
    <row r="200" spans="1:13" ht="21.3" customHeight="1" thickBot="1" x14ac:dyDescent="0.35">
      <c r="A200" s="25"/>
      <c r="B200" s="25"/>
      <c r="C200" s="25"/>
      <c r="D200" s="29"/>
      <c r="E200" s="30" t="s">
        <v>626</v>
      </c>
      <c r="F200" s="31"/>
      <c r="G200" s="32"/>
      <c r="H200" s="32"/>
      <c r="I200" s="32">
        <v>146.06</v>
      </c>
      <c r="J200" s="34">
        <f>ROUND(I200,3)</f>
        <v>146.06</v>
      </c>
      <c r="K200" s="36">
        <f>SUM(J200:J200)</f>
        <v>146.06</v>
      </c>
      <c r="L200" s="25"/>
      <c r="M200" s="25"/>
    </row>
    <row r="201" spans="1:13" ht="15.15" customHeight="1" thickBot="1" x14ac:dyDescent="0.35">
      <c r="A201" s="5" t="s">
        <v>627</v>
      </c>
      <c r="B201" s="5" t="s">
        <v>628</v>
      </c>
      <c r="C201" s="5" t="s">
        <v>629</v>
      </c>
      <c r="D201" s="82" t="s">
        <v>630</v>
      </c>
      <c r="E201" s="82"/>
      <c r="F201" s="82"/>
      <c r="G201" s="82"/>
      <c r="H201" s="82"/>
      <c r="I201" s="82"/>
      <c r="J201" s="82"/>
      <c r="K201" s="23">
        <v>7</v>
      </c>
      <c r="L201" s="23">
        <f>ROUND(0.079,3)</f>
        <v>7.9000000000000001E-2</v>
      </c>
      <c r="M201" s="24">
        <f t="shared" ref="M201:M208" si="9">ROUND(K201*L201,2)</f>
        <v>0.55000000000000004</v>
      </c>
    </row>
    <row r="202" spans="1:13" ht="15.15" customHeight="1" thickBot="1" x14ac:dyDescent="0.35">
      <c r="A202" s="5" t="s">
        <v>631</v>
      </c>
      <c r="B202" s="5" t="s">
        <v>632</v>
      </c>
      <c r="C202" s="5" t="s">
        <v>633</v>
      </c>
      <c r="D202" s="82" t="s">
        <v>634</v>
      </c>
      <c r="E202" s="82"/>
      <c r="F202" s="82"/>
      <c r="G202" s="82"/>
      <c r="H202" s="82"/>
      <c r="I202" s="82"/>
      <c r="J202" s="82"/>
      <c r="K202" s="23">
        <v>70.11</v>
      </c>
      <c r="L202" s="23">
        <f>ROUND(0.845,3)</f>
        <v>0.84499999999999997</v>
      </c>
      <c r="M202" s="24">
        <f t="shared" si="9"/>
        <v>59.24</v>
      </c>
    </row>
    <row r="203" spans="1:13" ht="15.15" customHeight="1" thickBot="1" x14ac:dyDescent="0.35">
      <c r="A203" s="5" t="s">
        <v>635</v>
      </c>
      <c r="B203" s="5" t="s">
        <v>636</v>
      </c>
      <c r="C203" s="5" t="s">
        <v>637</v>
      </c>
      <c r="D203" s="82" t="s">
        <v>638</v>
      </c>
      <c r="E203" s="82"/>
      <c r="F203" s="82"/>
      <c r="G203" s="82"/>
      <c r="H203" s="82"/>
      <c r="I203" s="82"/>
      <c r="J203" s="82"/>
      <c r="K203" s="23">
        <v>0.28000000000000003</v>
      </c>
      <c r="L203" s="23">
        <f>ROUND(0.792,3)</f>
        <v>0.79200000000000004</v>
      </c>
      <c r="M203" s="24">
        <f t="shared" si="9"/>
        <v>0.22</v>
      </c>
    </row>
    <row r="204" spans="1:13" ht="24.3" customHeight="1" thickBot="1" x14ac:dyDescent="0.35">
      <c r="A204" s="5" t="s">
        <v>639</v>
      </c>
      <c r="B204" s="5" t="s">
        <v>640</v>
      </c>
      <c r="C204" s="5" t="s">
        <v>641</v>
      </c>
      <c r="D204" s="82" t="s">
        <v>642</v>
      </c>
      <c r="E204" s="82"/>
      <c r="F204" s="82"/>
      <c r="G204" s="82"/>
      <c r="H204" s="82"/>
      <c r="I204" s="82"/>
      <c r="J204" s="82"/>
      <c r="K204" s="23">
        <v>1.1000000000000001</v>
      </c>
      <c r="L204" s="23">
        <f>ROUND(46.33,3)</f>
        <v>46.33</v>
      </c>
      <c r="M204" s="24">
        <f t="shared" si="9"/>
        <v>50.96</v>
      </c>
    </row>
    <row r="205" spans="1:13" ht="15.15" customHeight="1" thickBot="1" x14ac:dyDescent="0.35">
      <c r="A205" s="5" t="s">
        <v>643</v>
      </c>
      <c r="B205" s="5" t="s">
        <v>644</v>
      </c>
      <c r="C205" s="5" t="s">
        <v>645</v>
      </c>
      <c r="D205" s="82" t="s">
        <v>646</v>
      </c>
      <c r="E205" s="82"/>
      <c r="F205" s="82"/>
      <c r="G205" s="82"/>
      <c r="H205" s="82"/>
      <c r="I205" s="82"/>
      <c r="J205" s="82"/>
      <c r="K205" s="23">
        <v>6.9000000000000006E-2</v>
      </c>
      <c r="L205" s="23">
        <f>ROUND(24.02,3)</f>
        <v>24.02</v>
      </c>
      <c r="M205" s="24">
        <f t="shared" si="9"/>
        <v>1.66</v>
      </c>
    </row>
    <row r="206" spans="1:13" ht="15.15" customHeight="1" thickBot="1" x14ac:dyDescent="0.35">
      <c r="A206" s="5" t="s">
        <v>647</v>
      </c>
      <c r="B206" s="5" t="s">
        <v>648</v>
      </c>
      <c r="C206" s="5" t="s">
        <v>649</v>
      </c>
      <c r="D206" s="82" t="s">
        <v>650</v>
      </c>
      <c r="E206" s="82"/>
      <c r="F206" s="82"/>
      <c r="G206" s="82"/>
      <c r="H206" s="82"/>
      <c r="I206" s="82"/>
      <c r="J206" s="82"/>
      <c r="K206" s="23">
        <v>6.9000000000000006E-2</v>
      </c>
      <c r="L206" s="23">
        <f>ROUND(21.49,3)</f>
        <v>21.49</v>
      </c>
      <c r="M206" s="24">
        <f t="shared" si="9"/>
        <v>1.48</v>
      </c>
    </row>
    <row r="207" spans="1:13" ht="15.15" customHeight="1" thickBot="1" x14ac:dyDescent="0.35">
      <c r="A207" s="5" t="s">
        <v>651</v>
      </c>
      <c r="B207" s="5" t="s">
        <v>652</v>
      </c>
      <c r="C207" s="5" t="s">
        <v>653</v>
      </c>
      <c r="D207" s="82" t="s">
        <v>654</v>
      </c>
      <c r="E207" s="82"/>
      <c r="F207" s="82"/>
      <c r="G207" s="82"/>
      <c r="H207" s="82"/>
      <c r="I207" s="82"/>
      <c r="J207" s="82"/>
      <c r="K207" s="23">
        <v>3.1E-2</v>
      </c>
      <c r="L207" s="23">
        <f>ROUND(24.02,3)</f>
        <v>24.02</v>
      </c>
      <c r="M207" s="24">
        <f t="shared" si="9"/>
        <v>0.74</v>
      </c>
    </row>
    <row r="208" spans="1:13" ht="15.15" customHeight="1" thickBot="1" x14ac:dyDescent="0.35">
      <c r="A208" s="5" t="s">
        <v>655</v>
      </c>
      <c r="B208" s="5" t="s">
        <v>656</v>
      </c>
      <c r="C208" s="5" t="s">
        <v>657</v>
      </c>
      <c r="D208" s="82" t="s">
        <v>658</v>
      </c>
      <c r="E208" s="82"/>
      <c r="F208" s="82"/>
      <c r="G208" s="82"/>
      <c r="H208" s="82"/>
      <c r="I208" s="82"/>
      <c r="J208" s="82"/>
      <c r="K208" s="23">
        <v>0.154</v>
      </c>
      <c r="L208" s="23">
        <f>ROUND(21.49,3)</f>
        <v>21.49</v>
      </c>
      <c r="M208" s="24">
        <f t="shared" si="9"/>
        <v>3.31</v>
      </c>
    </row>
    <row r="209" spans="1:13" ht="15.15" customHeight="1" thickBot="1" x14ac:dyDescent="0.35">
      <c r="A209" s="5" t="s">
        <v>659</v>
      </c>
      <c r="B209" s="5"/>
      <c r="C209" s="5" t="s">
        <v>660</v>
      </c>
      <c r="D209" s="82" t="s">
        <v>661</v>
      </c>
      <c r="E209" s="82"/>
      <c r="F209" s="82"/>
      <c r="G209" s="82"/>
      <c r="H209" s="82"/>
      <c r="I209" s="82"/>
      <c r="J209" s="82"/>
      <c r="K209" s="23">
        <v>2</v>
      </c>
      <c r="L209" s="23">
        <f>ROUND(118.16,3)</f>
        <v>118.16</v>
      </c>
      <c r="M209" s="24">
        <f>ROUND((K209*L209)/100,2)</f>
        <v>2.36</v>
      </c>
    </row>
    <row r="210" spans="1:13" ht="15.45" customHeight="1" thickBot="1" x14ac:dyDescent="0.35">
      <c r="A210" s="37"/>
      <c r="B210" s="37"/>
      <c r="C210" s="37"/>
      <c r="D210" s="38" t="s">
        <v>662</v>
      </c>
      <c r="E210" s="37"/>
      <c r="F210" s="37"/>
      <c r="G210" s="37"/>
      <c r="H210" s="37"/>
      <c r="I210" s="37"/>
      <c r="J210" s="37"/>
      <c r="K210" s="39">
        <v>146.06</v>
      </c>
      <c r="L210" s="40">
        <f>ROUND((M201+M202+M203+M204+M205+M206+M207+M208+M209)*(1+M2/100),2)</f>
        <v>124.14</v>
      </c>
      <c r="M210" s="40">
        <f>ROUND(K210*L210,2)</f>
        <v>18131.89</v>
      </c>
    </row>
    <row r="211" spans="1:13" ht="15.45" customHeight="1" thickBot="1" x14ac:dyDescent="0.35">
      <c r="A211" s="41"/>
      <c r="B211" s="41"/>
      <c r="C211" s="41"/>
      <c r="D211" s="42" t="s">
        <v>663</v>
      </c>
      <c r="E211" s="43"/>
      <c r="F211" s="43"/>
      <c r="G211" s="43"/>
      <c r="H211" s="43"/>
      <c r="I211" s="43"/>
      <c r="J211" s="43"/>
      <c r="K211" s="43"/>
      <c r="L211" s="44">
        <f>M198</f>
        <v>18131.89</v>
      </c>
      <c r="M211" s="44">
        <f>ROUND(L211,2)</f>
        <v>18131.89</v>
      </c>
    </row>
    <row r="212" spans="1:13" ht="15.45" customHeight="1" thickBot="1" x14ac:dyDescent="0.35">
      <c r="A212" s="54" t="s">
        <v>664</v>
      </c>
      <c r="B212" s="54" t="s">
        <v>665</v>
      </c>
      <c r="C212" s="55"/>
      <c r="D212" s="84" t="s">
        <v>666</v>
      </c>
      <c r="E212" s="84"/>
      <c r="F212" s="84"/>
      <c r="G212" s="84"/>
      <c r="H212" s="84"/>
      <c r="I212" s="84"/>
      <c r="J212" s="84"/>
      <c r="K212" s="55"/>
      <c r="L212" s="56">
        <f>L226</f>
        <v>11312.4</v>
      </c>
      <c r="M212" s="56">
        <f>ROUND(L212,2)</f>
        <v>11312.4</v>
      </c>
    </row>
    <row r="213" spans="1:13" ht="30.6" customHeight="1" thickBot="1" x14ac:dyDescent="0.35">
      <c r="A213" s="10" t="s">
        <v>667</v>
      </c>
      <c r="B213" s="5" t="s">
        <v>668</v>
      </c>
      <c r="C213" s="5" t="s">
        <v>669</v>
      </c>
      <c r="D213" s="82" t="s">
        <v>670</v>
      </c>
      <c r="E213" s="82"/>
      <c r="F213" s="82"/>
      <c r="G213" s="82"/>
      <c r="H213" s="82"/>
      <c r="I213" s="82"/>
      <c r="J213" s="82"/>
      <c r="K213" s="23">
        <f>SUM(K215:K215)</f>
        <v>81.39</v>
      </c>
      <c r="L213" s="24">
        <f>L225</f>
        <v>138.99</v>
      </c>
      <c r="M213" s="24">
        <f>ROUND(K213*L213,2)</f>
        <v>11312.4</v>
      </c>
    </row>
    <row r="214" spans="1:13" ht="15.15" customHeight="1" thickBot="1" x14ac:dyDescent="0.35">
      <c r="A214" s="25"/>
      <c r="B214" s="25"/>
      <c r="C214" s="25"/>
      <c r="D214" s="25"/>
      <c r="E214" s="26"/>
      <c r="F214" s="28" t="s">
        <v>671</v>
      </c>
      <c r="G214" s="28" t="s">
        <v>672</v>
      </c>
      <c r="H214" s="28" t="s">
        <v>673</v>
      </c>
      <c r="I214" s="28" t="s">
        <v>674</v>
      </c>
      <c r="J214" s="28" t="s">
        <v>675</v>
      </c>
      <c r="K214" s="28" t="s">
        <v>676</v>
      </c>
      <c r="L214" s="25"/>
      <c r="M214" s="25"/>
    </row>
    <row r="215" spans="1:13" ht="21.3" customHeight="1" thickBot="1" x14ac:dyDescent="0.35">
      <c r="A215" s="25"/>
      <c r="B215" s="25"/>
      <c r="C215" s="25"/>
      <c r="D215" s="29"/>
      <c r="E215" s="30" t="s">
        <v>677</v>
      </c>
      <c r="F215" s="31"/>
      <c r="G215" s="32"/>
      <c r="H215" s="32"/>
      <c r="I215" s="32">
        <v>81.39</v>
      </c>
      <c r="J215" s="34">
        <f>ROUND(I215,3)</f>
        <v>81.39</v>
      </c>
      <c r="K215" s="36">
        <f>SUM(J215:J215)</f>
        <v>81.39</v>
      </c>
      <c r="L215" s="25"/>
      <c r="M215" s="25"/>
    </row>
    <row r="216" spans="1:13" ht="15.15" customHeight="1" thickBot="1" x14ac:dyDescent="0.35">
      <c r="A216" s="5" t="s">
        <v>678</v>
      </c>
      <c r="B216" s="5" t="s">
        <v>679</v>
      </c>
      <c r="C216" s="5" t="s">
        <v>680</v>
      </c>
      <c r="D216" s="82" t="s">
        <v>681</v>
      </c>
      <c r="E216" s="82"/>
      <c r="F216" s="82"/>
      <c r="G216" s="82"/>
      <c r="H216" s="82"/>
      <c r="I216" s="82"/>
      <c r="J216" s="82"/>
      <c r="K216" s="23">
        <v>8</v>
      </c>
      <c r="L216" s="23">
        <f>ROUND(0.079,3)</f>
        <v>7.9000000000000001E-2</v>
      </c>
      <c r="M216" s="24">
        <f t="shared" ref="M216:M223" si="10">ROUND(K216*L216,2)</f>
        <v>0.63</v>
      </c>
    </row>
    <row r="217" spans="1:13" ht="15.15" customHeight="1" thickBot="1" x14ac:dyDescent="0.35">
      <c r="A217" s="5" t="s">
        <v>682</v>
      </c>
      <c r="B217" s="5" t="s">
        <v>683</v>
      </c>
      <c r="C217" s="5" t="s">
        <v>684</v>
      </c>
      <c r="D217" s="82" t="s">
        <v>685</v>
      </c>
      <c r="E217" s="82"/>
      <c r="F217" s="82"/>
      <c r="G217" s="82"/>
      <c r="H217" s="82"/>
      <c r="I217" s="82"/>
      <c r="J217" s="82"/>
      <c r="K217" s="23">
        <v>81.53</v>
      </c>
      <c r="L217" s="23">
        <f>ROUND(0.845,3)</f>
        <v>0.84499999999999997</v>
      </c>
      <c r="M217" s="24">
        <f t="shared" si="10"/>
        <v>68.89</v>
      </c>
    </row>
    <row r="218" spans="1:13" ht="15.15" customHeight="1" thickBot="1" x14ac:dyDescent="0.35">
      <c r="A218" s="5" t="s">
        <v>686</v>
      </c>
      <c r="B218" s="5" t="s">
        <v>687</v>
      </c>
      <c r="C218" s="5" t="s">
        <v>688</v>
      </c>
      <c r="D218" s="82" t="s">
        <v>689</v>
      </c>
      <c r="E218" s="82"/>
      <c r="F218" s="82"/>
      <c r="G218" s="82"/>
      <c r="H218" s="82"/>
      <c r="I218" s="82"/>
      <c r="J218" s="82"/>
      <c r="K218" s="23">
        <v>0.32600000000000001</v>
      </c>
      <c r="L218" s="23">
        <f>ROUND(0.792,3)</f>
        <v>0.79200000000000004</v>
      </c>
      <c r="M218" s="24">
        <f t="shared" si="10"/>
        <v>0.26</v>
      </c>
    </row>
    <row r="219" spans="1:13" ht="24.3" customHeight="1" thickBot="1" x14ac:dyDescent="0.35">
      <c r="A219" s="5" t="s">
        <v>690</v>
      </c>
      <c r="B219" s="5" t="s">
        <v>691</v>
      </c>
      <c r="C219" s="5" t="s">
        <v>692</v>
      </c>
      <c r="D219" s="82" t="s">
        <v>693</v>
      </c>
      <c r="E219" s="82"/>
      <c r="F219" s="82"/>
      <c r="G219" s="82"/>
      <c r="H219" s="82"/>
      <c r="I219" s="82"/>
      <c r="J219" s="82"/>
      <c r="K219" s="23">
        <v>1.1000000000000001</v>
      </c>
      <c r="L219" s="23">
        <f>ROUND(48.444,3)</f>
        <v>48.444000000000003</v>
      </c>
      <c r="M219" s="24">
        <f t="shared" si="10"/>
        <v>53.29</v>
      </c>
    </row>
    <row r="220" spans="1:13" ht="15.15" customHeight="1" thickBot="1" x14ac:dyDescent="0.35">
      <c r="A220" s="5" t="s">
        <v>694</v>
      </c>
      <c r="B220" s="5" t="s">
        <v>695</v>
      </c>
      <c r="C220" s="5" t="s">
        <v>696</v>
      </c>
      <c r="D220" s="82" t="s">
        <v>697</v>
      </c>
      <c r="E220" s="82"/>
      <c r="F220" s="82"/>
      <c r="G220" s="82"/>
      <c r="H220" s="82"/>
      <c r="I220" s="82"/>
      <c r="J220" s="82"/>
      <c r="K220" s="23">
        <v>0.08</v>
      </c>
      <c r="L220" s="23">
        <f>ROUND(24.02,3)</f>
        <v>24.02</v>
      </c>
      <c r="M220" s="24">
        <f t="shared" si="10"/>
        <v>1.92</v>
      </c>
    </row>
    <row r="221" spans="1:13" ht="15.15" customHeight="1" thickBot="1" x14ac:dyDescent="0.35">
      <c r="A221" s="5" t="s">
        <v>698</v>
      </c>
      <c r="B221" s="5" t="s">
        <v>699</v>
      </c>
      <c r="C221" s="5" t="s">
        <v>700</v>
      </c>
      <c r="D221" s="82" t="s">
        <v>701</v>
      </c>
      <c r="E221" s="82"/>
      <c r="F221" s="82"/>
      <c r="G221" s="82"/>
      <c r="H221" s="82"/>
      <c r="I221" s="82"/>
      <c r="J221" s="82"/>
      <c r="K221" s="23">
        <v>0.12</v>
      </c>
      <c r="L221" s="23">
        <f>ROUND(21.49,3)</f>
        <v>21.49</v>
      </c>
      <c r="M221" s="24">
        <f t="shared" si="10"/>
        <v>2.58</v>
      </c>
    </row>
    <row r="222" spans="1:13" ht="15.15" customHeight="1" thickBot="1" x14ac:dyDescent="0.35">
      <c r="A222" s="5" t="s">
        <v>702</v>
      </c>
      <c r="B222" s="5" t="s">
        <v>703</v>
      </c>
      <c r="C222" s="5" t="s">
        <v>704</v>
      </c>
      <c r="D222" s="82" t="s">
        <v>705</v>
      </c>
      <c r="E222" s="82"/>
      <c r="F222" s="82"/>
      <c r="G222" s="82"/>
      <c r="H222" s="82"/>
      <c r="I222" s="82"/>
      <c r="J222" s="82"/>
      <c r="K222" s="23">
        <v>3.1E-2</v>
      </c>
      <c r="L222" s="23">
        <f>ROUND(24.02,3)</f>
        <v>24.02</v>
      </c>
      <c r="M222" s="24">
        <f t="shared" si="10"/>
        <v>0.74</v>
      </c>
    </row>
    <row r="223" spans="1:13" ht="15.15" customHeight="1" thickBot="1" x14ac:dyDescent="0.35">
      <c r="A223" s="5" t="s">
        <v>706</v>
      </c>
      <c r="B223" s="5" t="s">
        <v>707</v>
      </c>
      <c r="C223" s="5" t="s">
        <v>708</v>
      </c>
      <c r="D223" s="82" t="s">
        <v>709</v>
      </c>
      <c r="E223" s="82"/>
      <c r="F223" s="82"/>
      <c r="G223" s="82"/>
      <c r="H223" s="82"/>
      <c r="I223" s="82"/>
      <c r="J223" s="82"/>
      <c r="K223" s="23">
        <v>0.185</v>
      </c>
      <c r="L223" s="23">
        <f>ROUND(21.49,3)</f>
        <v>21.49</v>
      </c>
      <c r="M223" s="24">
        <f t="shared" si="10"/>
        <v>3.98</v>
      </c>
    </row>
    <row r="224" spans="1:13" ht="15.15" customHeight="1" thickBot="1" x14ac:dyDescent="0.35">
      <c r="A224" s="5" t="s">
        <v>710</v>
      </c>
      <c r="B224" s="5"/>
      <c r="C224" s="5" t="s">
        <v>711</v>
      </c>
      <c r="D224" s="82" t="s">
        <v>712</v>
      </c>
      <c r="E224" s="82"/>
      <c r="F224" s="82"/>
      <c r="G224" s="82"/>
      <c r="H224" s="82"/>
      <c r="I224" s="82"/>
      <c r="J224" s="82"/>
      <c r="K224" s="23">
        <v>2</v>
      </c>
      <c r="L224" s="23">
        <f>ROUND(132.29,3)</f>
        <v>132.29</v>
      </c>
      <c r="M224" s="24">
        <f>ROUND((K224*L224)/100,2)</f>
        <v>2.65</v>
      </c>
    </row>
    <row r="225" spans="1:13" ht="15.45" customHeight="1" thickBot="1" x14ac:dyDescent="0.35">
      <c r="A225" s="37"/>
      <c r="B225" s="37"/>
      <c r="C225" s="37"/>
      <c r="D225" s="38" t="s">
        <v>713</v>
      </c>
      <c r="E225" s="37"/>
      <c r="F225" s="37"/>
      <c r="G225" s="37"/>
      <c r="H225" s="37"/>
      <c r="I225" s="37"/>
      <c r="J225" s="37"/>
      <c r="K225" s="39">
        <v>81.39</v>
      </c>
      <c r="L225" s="40">
        <f>ROUND((M216+M217+M218+M219+M220+M221+M222+M223+M224)*(1+M2/100),2)</f>
        <v>138.99</v>
      </c>
      <c r="M225" s="40">
        <f>ROUND(K225*L225,2)</f>
        <v>11312.4</v>
      </c>
    </row>
    <row r="226" spans="1:13" ht="15.45" customHeight="1" thickBot="1" x14ac:dyDescent="0.35">
      <c r="A226" s="41"/>
      <c r="B226" s="41"/>
      <c r="C226" s="41"/>
      <c r="D226" s="42" t="s">
        <v>714</v>
      </c>
      <c r="E226" s="43"/>
      <c r="F226" s="43"/>
      <c r="G226" s="43"/>
      <c r="H226" s="43"/>
      <c r="I226" s="43"/>
      <c r="J226" s="43"/>
      <c r="K226" s="43"/>
      <c r="L226" s="44">
        <f>M213</f>
        <v>11312.4</v>
      </c>
      <c r="M226" s="44">
        <f>ROUND(L226,2)</f>
        <v>11312.4</v>
      </c>
    </row>
    <row r="227" spans="1:13" ht="15.45" customHeight="1" thickBot="1" x14ac:dyDescent="0.35">
      <c r="A227" s="41"/>
      <c r="B227" s="41"/>
      <c r="C227" s="41"/>
      <c r="D227" s="45" t="s">
        <v>715</v>
      </c>
      <c r="E227" s="46"/>
      <c r="F227" s="46"/>
      <c r="G227" s="46"/>
      <c r="H227" s="46"/>
      <c r="I227" s="46"/>
      <c r="J227" s="46"/>
      <c r="K227" s="46"/>
      <c r="L227" s="47">
        <f>M211+M226</f>
        <v>29444.29</v>
      </c>
      <c r="M227" s="47">
        <f>ROUND(L227,2)</f>
        <v>29444.29</v>
      </c>
    </row>
    <row r="228" spans="1:13" ht="15.45" customHeight="1" thickBot="1" x14ac:dyDescent="0.35">
      <c r="A228" s="62" t="s">
        <v>716</v>
      </c>
      <c r="B228" s="62" t="s">
        <v>717</v>
      </c>
      <c r="C228" s="63"/>
      <c r="D228" s="86" t="s">
        <v>718</v>
      </c>
      <c r="E228" s="86"/>
      <c r="F228" s="86"/>
      <c r="G228" s="86"/>
      <c r="H228" s="86"/>
      <c r="I228" s="86"/>
      <c r="J228" s="86"/>
      <c r="K228" s="63"/>
      <c r="L228" s="64">
        <f>L257</f>
        <v>2786.58</v>
      </c>
      <c r="M228" s="64">
        <f>ROUND(L228,2)</f>
        <v>2786.58</v>
      </c>
    </row>
    <row r="229" spans="1:13" ht="15.45" customHeight="1" thickBot="1" x14ac:dyDescent="0.35">
      <c r="A229" s="20" t="s">
        <v>719</v>
      </c>
      <c r="B229" s="20" t="s">
        <v>720</v>
      </c>
      <c r="C229" s="21"/>
      <c r="D229" s="81" t="s">
        <v>721</v>
      </c>
      <c r="E229" s="81"/>
      <c r="F229" s="81"/>
      <c r="G229" s="81"/>
      <c r="H229" s="81"/>
      <c r="I229" s="81"/>
      <c r="J229" s="81"/>
      <c r="K229" s="21"/>
      <c r="L229" s="22">
        <f>L256</f>
        <v>2786.5800000000004</v>
      </c>
      <c r="M229" s="22">
        <f>ROUND(L229,2)</f>
        <v>2786.58</v>
      </c>
    </row>
    <row r="230" spans="1:13" ht="30.6" customHeight="1" thickBot="1" x14ac:dyDescent="0.35">
      <c r="A230" s="10" t="s">
        <v>722</v>
      </c>
      <c r="B230" s="5" t="s">
        <v>723</v>
      </c>
      <c r="C230" s="5" t="s">
        <v>724</v>
      </c>
      <c r="D230" s="82" t="s">
        <v>725</v>
      </c>
      <c r="E230" s="82"/>
      <c r="F230" s="82"/>
      <c r="G230" s="82"/>
      <c r="H230" s="82"/>
      <c r="I230" s="82"/>
      <c r="J230" s="82"/>
      <c r="K230" s="23">
        <f>SUM(K232:K232)</f>
        <v>3.93</v>
      </c>
      <c r="L230" s="24">
        <f>L242</f>
        <v>182.08</v>
      </c>
      <c r="M230" s="24">
        <f>ROUND(K230*L230,2)</f>
        <v>715.57</v>
      </c>
    </row>
    <row r="231" spans="1:13" ht="15.15" customHeight="1" thickBot="1" x14ac:dyDescent="0.35">
      <c r="A231" s="25"/>
      <c r="B231" s="25"/>
      <c r="C231" s="25"/>
      <c r="D231" s="25"/>
      <c r="E231" s="26"/>
      <c r="F231" s="28" t="s">
        <v>726</v>
      </c>
      <c r="G231" s="28" t="s">
        <v>727</v>
      </c>
      <c r="H231" s="28" t="s">
        <v>728</v>
      </c>
      <c r="I231" s="28" t="s">
        <v>729</v>
      </c>
      <c r="J231" s="28" t="s">
        <v>730</v>
      </c>
      <c r="K231" s="28" t="s">
        <v>731</v>
      </c>
      <c r="L231" s="25"/>
      <c r="M231" s="25"/>
    </row>
    <row r="232" spans="1:13" ht="15.15" customHeight="1" thickBot="1" x14ac:dyDescent="0.35">
      <c r="A232" s="25"/>
      <c r="B232" s="25"/>
      <c r="C232" s="25"/>
      <c r="D232" s="29"/>
      <c r="E232" s="30" t="s">
        <v>732</v>
      </c>
      <c r="F232" s="31"/>
      <c r="G232" s="32"/>
      <c r="H232" s="32"/>
      <c r="I232" s="32">
        <v>3.93</v>
      </c>
      <c r="J232" s="34">
        <f>ROUND(I232,3)</f>
        <v>3.93</v>
      </c>
      <c r="K232" s="36">
        <f>SUM(J232:J232)</f>
        <v>3.93</v>
      </c>
      <c r="L232" s="25"/>
      <c r="M232" s="25"/>
    </row>
    <row r="233" spans="1:13" ht="15.15" customHeight="1" thickBot="1" x14ac:dyDescent="0.35">
      <c r="A233" s="5" t="s">
        <v>733</v>
      </c>
      <c r="B233" s="5" t="s">
        <v>734</v>
      </c>
      <c r="C233" s="5" t="s">
        <v>735</v>
      </c>
      <c r="D233" s="82" t="s">
        <v>736</v>
      </c>
      <c r="E233" s="82"/>
      <c r="F233" s="82"/>
      <c r="G233" s="82"/>
      <c r="H233" s="82"/>
      <c r="I233" s="82"/>
      <c r="J233" s="82"/>
      <c r="K233" s="23">
        <v>10</v>
      </c>
      <c r="L233" s="23">
        <f>ROUND(0.079,3)</f>
        <v>7.9000000000000001E-2</v>
      </c>
      <c r="M233" s="24">
        <f t="shared" ref="M233:M240" si="11">ROUND(K233*L233,2)</f>
        <v>0.79</v>
      </c>
    </row>
    <row r="234" spans="1:13" ht="15.15" customHeight="1" thickBot="1" x14ac:dyDescent="0.35">
      <c r="A234" s="5" t="s">
        <v>737</v>
      </c>
      <c r="B234" s="5" t="s">
        <v>738</v>
      </c>
      <c r="C234" s="5" t="s">
        <v>739</v>
      </c>
      <c r="D234" s="82" t="s">
        <v>740</v>
      </c>
      <c r="E234" s="82"/>
      <c r="F234" s="82"/>
      <c r="G234" s="82"/>
      <c r="H234" s="82"/>
      <c r="I234" s="82"/>
      <c r="J234" s="82"/>
      <c r="K234" s="23">
        <v>126.64</v>
      </c>
      <c r="L234" s="23">
        <f>ROUND(0.845,3)</f>
        <v>0.84499999999999997</v>
      </c>
      <c r="M234" s="24">
        <f t="shared" si="11"/>
        <v>107.01</v>
      </c>
    </row>
    <row r="235" spans="1:13" ht="15.15" customHeight="1" thickBot="1" x14ac:dyDescent="0.35">
      <c r="A235" s="5" t="s">
        <v>741</v>
      </c>
      <c r="B235" s="5" t="s">
        <v>742</v>
      </c>
      <c r="C235" s="5" t="s">
        <v>743</v>
      </c>
      <c r="D235" s="82" t="s">
        <v>744</v>
      </c>
      <c r="E235" s="82"/>
      <c r="F235" s="82"/>
      <c r="G235" s="82"/>
      <c r="H235" s="82"/>
      <c r="I235" s="82"/>
      <c r="J235" s="82"/>
      <c r="K235" s="23">
        <v>1.0129999999999999</v>
      </c>
      <c r="L235" s="23">
        <f>ROUND(0.792,3)</f>
        <v>0.79200000000000004</v>
      </c>
      <c r="M235" s="24">
        <f t="shared" si="11"/>
        <v>0.8</v>
      </c>
    </row>
    <row r="236" spans="1:13" ht="24.3" customHeight="1" thickBot="1" x14ac:dyDescent="0.35">
      <c r="A236" s="5" t="s">
        <v>745</v>
      </c>
      <c r="B236" s="5" t="s">
        <v>746</v>
      </c>
      <c r="C236" s="5" t="s">
        <v>747</v>
      </c>
      <c r="D236" s="82" t="s">
        <v>748</v>
      </c>
      <c r="E236" s="82"/>
      <c r="F236" s="82"/>
      <c r="G236" s="82"/>
      <c r="H236" s="82"/>
      <c r="I236" s="82"/>
      <c r="J236" s="82"/>
      <c r="K236" s="23">
        <v>1.05</v>
      </c>
      <c r="L236" s="23">
        <f>ROUND(46.33,3)</f>
        <v>46.33</v>
      </c>
      <c r="M236" s="24">
        <f t="shared" si="11"/>
        <v>48.65</v>
      </c>
    </row>
    <row r="237" spans="1:13" ht="15.15" customHeight="1" thickBot="1" x14ac:dyDescent="0.35">
      <c r="A237" s="5" t="s">
        <v>749</v>
      </c>
      <c r="B237" s="5" t="s">
        <v>750</v>
      </c>
      <c r="C237" s="5" t="s">
        <v>751</v>
      </c>
      <c r="D237" s="82" t="s">
        <v>752</v>
      </c>
      <c r="E237" s="82"/>
      <c r="F237" s="82"/>
      <c r="G237" s="82"/>
      <c r="H237" s="82"/>
      <c r="I237" s="82"/>
      <c r="J237" s="82"/>
      <c r="K237" s="23">
        <v>0.248</v>
      </c>
      <c r="L237" s="23">
        <f>ROUND(24.02,3)</f>
        <v>24.02</v>
      </c>
      <c r="M237" s="24">
        <f t="shared" si="11"/>
        <v>5.96</v>
      </c>
    </row>
    <row r="238" spans="1:13" ht="15.15" customHeight="1" thickBot="1" x14ac:dyDescent="0.35">
      <c r="A238" s="5" t="s">
        <v>753</v>
      </c>
      <c r="B238" s="5" t="s">
        <v>754</v>
      </c>
      <c r="C238" s="5" t="s">
        <v>755</v>
      </c>
      <c r="D238" s="82" t="s">
        <v>756</v>
      </c>
      <c r="E238" s="82"/>
      <c r="F238" s="82"/>
      <c r="G238" s="82"/>
      <c r="H238" s="82"/>
      <c r="I238" s="82"/>
      <c r="J238" s="82"/>
      <c r="K238" s="23">
        <v>0.249</v>
      </c>
      <c r="L238" s="23">
        <f>ROUND(21.49,3)</f>
        <v>21.49</v>
      </c>
      <c r="M238" s="24">
        <f t="shared" si="11"/>
        <v>5.35</v>
      </c>
    </row>
    <row r="239" spans="1:13" ht="15.15" customHeight="1" thickBot="1" x14ac:dyDescent="0.35">
      <c r="A239" s="5" t="s">
        <v>757</v>
      </c>
      <c r="B239" s="5" t="s">
        <v>758</v>
      </c>
      <c r="C239" s="5" t="s">
        <v>759</v>
      </c>
      <c r="D239" s="82" t="s">
        <v>760</v>
      </c>
      <c r="E239" s="82"/>
      <c r="F239" s="82"/>
      <c r="G239" s="82"/>
      <c r="H239" s="82"/>
      <c r="I239" s="82"/>
      <c r="J239" s="82"/>
      <c r="K239" s="23">
        <v>4.2999999999999997E-2</v>
      </c>
      <c r="L239" s="23">
        <f>ROUND(24.02,3)</f>
        <v>24.02</v>
      </c>
      <c r="M239" s="24">
        <f t="shared" si="11"/>
        <v>1.03</v>
      </c>
    </row>
    <row r="240" spans="1:13" ht="15.15" customHeight="1" thickBot="1" x14ac:dyDescent="0.35">
      <c r="A240" s="5" t="s">
        <v>761</v>
      </c>
      <c r="B240" s="5" t="s">
        <v>762</v>
      </c>
      <c r="C240" s="5" t="s">
        <v>763</v>
      </c>
      <c r="D240" s="82" t="s">
        <v>764</v>
      </c>
      <c r="E240" s="82"/>
      <c r="F240" s="82"/>
      <c r="G240" s="82"/>
      <c r="H240" s="82"/>
      <c r="I240" s="82"/>
      <c r="J240" s="82"/>
      <c r="K240" s="23">
        <v>0.17299999999999999</v>
      </c>
      <c r="L240" s="23">
        <f>ROUND(21.49,3)</f>
        <v>21.49</v>
      </c>
      <c r="M240" s="24">
        <f t="shared" si="11"/>
        <v>3.72</v>
      </c>
    </row>
    <row r="241" spans="1:13" ht="15.15" customHeight="1" thickBot="1" x14ac:dyDescent="0.35">
      <c r="A241" s="5" t="s">
        <v>765</v>
      </c>
      <c r="B241" s="5"/>
      <c r="C241" s="5" t="s">
        <v>766</v>
      </c>
      <c r="D241" s="82" t="s">
        <v>767</v>
      </c>
      <c r="E241" s="82"/>
      <c r="F241" s="82"/>
      <c r="G241" s="82"/>
      <c r="H241" s="82"/>
      <c r="I241" s="82"/>
      <c r="J241" s="82"/>
      <c r="K241" s="23">
        <v>2</v>
      </c>
      <c r="L241" s="23">
        <f>ROUND(173.31,3)</f>
        <v>173.31</v>
      </c>
      <c r="M241" s="24">
        <f>ROUND((K241*L241)/100,2)</f>
        <v>3.47</v>
      </c>
    </row>
    <row r="242" spans="1:13" ht="15.45" customHeight="1" thickBot="1" x14ac:dyDescent="0.35">
      <c r="A242" s="37"/>
      <c r="B242" s="37"/>
      <c r="C242" s="37"/>
      <c r="D242" s="38" t="s">
        <v>768</v>
      </c>
      <c r="E242" s="37"/>
      <c r="F242" s="37"/>
      <c r="G242" s="37"/>
      <c r="H242" s="37"/>
      <c r="I242" s="37"/>
      <c r="J242" s="37"/>
      <c r="K242" s="39">
        <v>3.93</v>
      </c>
      <c r="L242" s="40">
        <f>ROUND((M233+M234+M235+M236+M237+M238+M239+M240+M241)*(1+M2/100),2)</f>
        <v>182.08</v>
      </c>
      <c r="M242" s="40">
        <f>ROUND(K242*L242,2)</f>
        <v>715.57</v>
      </c>
    </row>
    <row r="243" spans="1:13" ht="30.6" customHeight="1" thickBot="1" x14ac:dyDescent="0.35">
      <c r="A243" s="58" t="s">
        <v>769</v>
      </c>
      <c r="B243" s="59" t="s">
        <v>770</v>
      </c>
      <c r="C243" s="59" t="s">
        <v>771</v>
      </c>
      <c r="D243" s="85" t="s">
        <v>772</v>
      </c>
      <c r="E243" s="85"/>
      <c r="F243" s="85"/>
      <c r="G243" s="85"/>
      <c r="H243" s="85"/>
      <c r="I243" s="85"/>
      <c r="J243" s="85"/>
      <c r="K243" s="60">
        <f>SUM(K245:K245)</f>
        <v>8.9600000000000009</v>
      </c>
      <c r="L243" s="61">
        <f>L255</f>
        <v>231.14</v>
      </c>
      <c r="M243" s="61">
        <f>ROUND(K243*L243,2)</f>
        <v>2071.0100000000002</v>
      </c>
    </row>
    <row r="244" spans="1:13" ht="15.15" customHeight="1" thickBot="1" x14ac:dyDescent="0.35">
      <c r="A244" s="25"/>
      <c r="B244" s="25"/>
      <c r="C244" s="25"/>
      <c r="D244" s="25"/>
      <c r="E244" s="26"/>
      <c r="F244" s="28" t="s">
        <v>773</v>
      </c>
      <c r="G244" s="28" t="s">
        <v>774</v>
      </c>
      <c r="H244" s="28" t="s">
        <v>775</v>
      </c>
      <c r="I244" s="28" t="s">
        <v>776</v>
      </c>
      <c r="J244" s="28" t="s">
        <v>777</v>
      </c>
      <c r="K244" s="28" t="s">
        <v>778</v>
      </c>
      <c r="L244" s="25"/>
      <c r="M244" s="25"/>
    </row>
    <row r="245" spans="1:13" ht="15.15" customHeight="1" thickBot="1" x14ac:dyDescent="0.35">
      <c r="A245" s="25"/>
      <c r="B245" s="25"/>
      <c r="C245" s="25"/>
      <c r="D245" s="29"/>
      <c r="E245" s="30" t="s">
        <v>779</v>
      </c>
      <c r="F245" s="31"/>
      <c r="G245" s="32"/>
      <c r="H245" s="32"/>
      <c r="I245" s="32">
        <v>8.9600000000000009</v>
      </c>
      <c r="J245" s="34">
        <f>ROUND(I245,3)</f>
        <v>8.9600000000000009</v>
      </c>
      <c r="K245" s="36">
        <f>SUM(J245:J245)</f>
        <v>8.9600000000000009</v>
      </c>
      <c r="L245" s="25"/>
      <c r="M245" s="25"/>
    </row>
    <row r="246" spans="1:13" ht="15.15" customHeight="1" thickBot="1" x14ac:dyDescent="0.35">
      <c r="A246" s="5" t="s">
        <v>780</v>
      </c>
      <c r="B246" s="5" t="s">
        <v>781</v>
      </c>
      <c r="C246" s="5" t="s">
        <v>782</v>
      </c>
      <c r="D246" s="82" t="s">
        <v>783</v>
      </c>
      <c r="E246" s="82"/>
      <c r="F246" s="82"/>
      <c r="G246" s="82"/>
      <c r="H246" s="82"/>
      <c r="I246" s="82"/>
      <c r="J246" s="82"/>
      <c r="K246" s="23">
        <v>10</v>
      </c>
      <c r="L246" s="23">
        <f>ROUND(0.079,3)</f>
        <v>7.9000000000000001E-2</v>
      </c>
      <c r="M246" s="24">
        <f t="shared" ref="M246:M253" si="12">ROUND(K246*L246,2)</f>
        <v>0.79</v>
      </c>
    </row>
    <row r="247" spans="1:13" ht="15.15" customHeight="1" thickBot="1" x14ac:dyDescent="0.35">
      <c r="A247" s="5" t="s">
        <v>784</v>
      </c>
      <c r="B247" s="5" t="s">
        <v>785</v>
      </c>
      <c r="C247" s="5" t="s">
        <v>786</v>
      </c>
      <c r="D247" s="82" t="s">
        <v>787</v>
      </c>
      <c r="E247" s="82"/>
      <c r="F247" s="82"/>
      <c r="G247" s="82"/>
      <c r="H247" s="82"/>
      <c r="I247" s="82"/>
      <c r="J247" s="82"/>
      <c r="K247" s="23">
        <v>176.29</v>
      </c>
      <c r="L247" s="23">
        <f>ROUND(0.845,3)</f>
        <v>0.84499999999999997</v>
      </c>
      <c r="M247" s="24">
        <f t="shared" si="12"/>
        <v>148.97</v>
      </c>
    </row>
    <row r="248" spans="1:13" ht="15.15" customHeight="1" thickBot="1" x14ac:dyDescent="0.35">
      <c r="A248" s="5" t="s">
        <v>788</v>
      </c>
      <c r="B248" s="5" t="s">
        <v>789</v>
      </c>
      <c r="C248" s="5" t="s">
        <v>790</v>
      </c>
      <c r="D248" s="82" t="s">
        <v>791</v>
      </c>
      <c r="E248" s="82"/>
      <c r="F248" s="82"/>
      <c r="G248" s="82"/>
      <c r="H248" s="82"/>
      <c r="I248" s="82"/>
      <c r="J248" s="82"/>
      <c r="K248" s="23">
        <v>1.41</v>
      </c>
      <c r="L248" s="23">
        <f>ROUND(0.792,3)</f>
        <v>0.79200000000000004</v>
      </c>
      <c r="M248" s="24">
        <f t="shared" si="12"/>
        <v>1.1200000000000001</v>
      </c>
    </row>
    <row r="249" spans="1:13" ht="24.3" customHeight="1" thickBot="1" x14ac:dyDescent="0.35">
      <c r="A249" s="5" t="s">
        <v>792</v>
      </c>
      <c r="B249" s="5" t="s">
        <v>793</v>
      </c>
      <c r="C249" s="5" t="s">
        <v>794</v>
      </c>
      <c r="D249" s="82" t="s">
        <v>795</v>
      </c>
      <c r="E249" s="82"/>
      <c r="F249" s="82"/>
      <c r="G249" s="82"/>
      <c r="H249" s="82"/>
      <c r="I249" s="82"/>
      <c r="J249" s="82"/>
      <c r="K249" s="23">
        <v>1.05</v>
      </c>
      <c r="L249" s="23">
        <f>ROUND(46.33,3)</f>
        <v>46.33</v>
      </c>
      <c r="M249" s="24">
        <f t="shared" si="12"/>
        <v>48.65</v>
      </c>
    </row>
    <row r="250" spans="1:13" ht="15.15" customHeight="1" thickBot="1" x14ac:dyDescent="0.35">
      <c r="A250" s="5" t="s">
        <v>796</v>
      </c>
      <c r="B250" s="5" t="s">
        <v>797</v>
      </c>
      <c r="C250" s="5" t="s">
        <v>798</v>
      </c>
      <c r="D250" s="82" t="s">
        <v>799</v>
      </c>
      <c r="E250" s="82"/>
      <c r="F250" s="82"/>
      <c r="G250" s="82"/>
      <c r="H250" s="82"/>
      <c r="I250" s="82"/>
      <c r="J250" s="82"/>
      <c r="K250" s="23">
        <v>0.34599999999999997</v>
      </c>
      <c r="L250" s="23">
        <f>ROUND(24.02,3)</f>
        <v>24.02</v>
      </c>
      <c r="M250" s="24">
        <f t="shared" si="12"/>
        <v>8.31</v>
      </c>
    </row>
    <row r="251" spans="1:13" ht="15.15" customHeight="1" thickBot="1" x14ac:dyDescent="0.35">
      <c r="A251" s="5" t="s">
        <v>800</v>
      </c>
      <c r="B251" s="5" t="s">
        <v>801</v>
      </c>
      <c r="C251" s="5" t="s">
        <v>802</v>
      </c>
      <c r="D251" s="82" t="s">
        <v>803</v>
      </c>
      <c r="E251" s="82"/>
      <c r="F251" s="82"/>
      <c r="G251" s="82"/>
      <c r="H251" s="82"/>
      <c r="I251" s="82"/>
      <c r="J251" s="82"/>
      <c r="K251" s="23">
        <v>0.34599999999999997</v>
      </c>
      <c r="L251" s="23">
        <f>ROUND(21.49,3)</f>
        <v>21.49</v>
      </c>
      <c r="M251" s="24">
        <f t="shared" si="12"/>
        <v>7.44</v>
      </c>
    </row>
    <row r="252" spans="1:13" ht="15.15" customHeight="1" thickBot="1" x14ac:dyDescent="0.35">
      <c r="A252" s="5" t="s">
        <v>804</v>
      </c>
      <c r="B252" s="5" t="s">
        <v>805</v>
      </c>
      <c r="C252" s="5" t="s">
        <v>806</v>
      </c>
      <c r="D252" s="82" t="s">
        <v>807</v>
      </c>
      <c r="E252" s="82"/>
      <c r="F252" s="82"/>
      <c r="G252" s="82"/>
      <c r="H252" s="82"/>
      <c r="I252" s="82"/>
      <c r="J252" s="82"/>
      <c r="K252" s="23">
        <v>4.2999999999999997E-2</v>
      </c>
      <c r="L252" s="23">
        <f>ROUND(24.02,3)</f>
        <v>24.02</v>
      </c>
      <c r="M252" s="24">
        <f t="shared" si="12"/>
        <v>1.03</v>
      </c>
    </row>
    <row r="253" spans="1:13" ht="15.15" customHeight="1" thickBot="1" x14ac:dyDescent="0.35">
      <c r="A253" s="5" t="s">
        <v>808</v>
      </c>
      <c r="B253" s="5" t="s">
        <v>809</v>
      </c>
      <c r="C253" s="5" t="s">
        <v>810</v>
      </c>
      <c r="D253" s="82" t="s">
        <v>811</v>
      </c>
      <c r="E253" s="82"/>
      <c r="F253" s="82"/>
      <c r="G253" s="82"/>
      <c r="H253" s="82"/>
      <c r="I253" s="82"/>
      <c r="J253" s="82"/>
      <c r="K253" s="23">
        <v>0.17199999999999999</v>
      </c>
      <c r="L253" s="23">
        <f>ROUND(21.49,3)</f>
        <v>21.49</v>
      </c>
      <c r="M253" s="24">
        <f t="shared" si="12"/>
        <v>3.7</v>
      </c>
    </row>
    <row r="254" spans="1:13" ht="15.15" customHeight="1" thickBot="1" x14ac:dyDescent="0.35">
      <c r="A254" s="5" t="s">
        <v>812</v>
      </c>
      <c r="B254" s="5"/>
      <c r="C254" s="5" t="s">
        <v>813</v>
      </c>
      <c r="D254" s="82" t="s">
        <v>814</v>
      </c>
      <c r="E254" s="82"/>
      <c r="F254" s="82"/>
      <c r="G254" s="82"/>
      <c r="H254" s="82"/>
      <c r="I254" s="82"/>
      <c r="J254" s="82"/>
      <c r="K254" s="23">
        <v>2</v>
      </c>
      <c r="L254" s="23">
        <f>ROUND(220.01,3)</f>
        <v>220.01</v>
      </c>
      <c r="M254" s="24">
        <f>ROUND((K254*L254)/100,2)</f>
        <v>4.4000000000000004</v>
      </c>
    </row>
    <row r="255" spans="1:13" ht="15.45" customHeight="1" thickBot="1" x14ac:dyDescent="0.35">
      <c r="A255" s="37"/>
      <c r="B255" s="37"/>
      <c r="C255" s="37"/>
      <c r="D255" s="38" t="s">
        <v>815</v>
      </c>
      <c r="E255" s="37"/>
      <c r="F255" s="37"/>
      <c r="G255" s="37"/>
      <c r="H255" s="37"/>
      <c r="I255" s="37"/>
      <c r="J255" s="37"/>
      <c r="K255" s="39">
        <v>8.9600000000000009</v>
      </c>
      <c r="L255" s="40">
        <f>ROUND((M246+M247+M248+M249+M250+M251+M252+M253+M254)*(1+M2/100),2)</f>
        <v>231.14</v>
      </c>
      <c r="M255" s="40">
        <f>ROUND(K255*L255,2)</f>
        <v>2071.0100000000002</v>
      </c>
    </row>
    <row r="256" spans="1:13" ht="15.45" customHeight="1" thickBot="1" x14ac:dyDescent="0.35">
      <c r="A256" s="41"/>
      <c r="B256" s="41"/>
      <c r="C256" s="41"/>
      <c r="D256" s="42" t="s">
        <v>816</v>
      </c>
      <c r="E256" s="43"/>
      <c r="F256" s="43"/>
      <c r="G256" s="43"/>
      <c r="H256" s="43"/>
      <c r="I256" s="43"/>
      <c r="J256" s="43"/>
      <c r="K256" s="43"/>
      <c r="L256" s="44">
        <f>M230+M243</f>
        <v>2786.5800000000004</v>
      </c>
      <c r="M256" s="44">
        <f t="shared" ref="M256:M261" si="13">ROUND(L256,2)</f>
        <v>2786.58</v>
      </c>
    </row>
    <row r="257" spans="1:13" ht="15.45" customHeight="1" thickBot="1" x14ac:dyDescent="0.35">
      <c r="A257" s="41"/>
      <c r="B257" s="41"/>
      <c r="C257" s="41"/>
      <c r="D257" s="45" t="s">
        <v>817</v>
      </c>
      <c r="E257" s="46"/>
      <c r="F257" s="46"/>
      <c r="G257" s="46"/>
      <c r="H257" s="46"/>
      <c r="I257" s="46"/>
      <c r="J257" s="46"/>
      <c r="K257" s="46"/>
      <c r="L257" s="47">
        <f>M256</f>
        <v>2786.58</v>
      </c>
      <c r="M257" s="47">
        <f t="shared" si="13"/>
        <v>2786.58</v>
      </c>
    </row>
    <row r="258" spans="1:13" ht="15.45" customHeight="1" thickBot="1" x14ac:dyDescent="0.35">
      <c r="A258" s="41"/>
      <c r="B258" s="41"/>
      <c r="C258" s="41"/>
      <c r="D258" s="48" t="s">
        <v>818</v>
      </c>
      <c r="E258" s="49"/>
      <c r="F258" s="49"/>
      <c r="G258" s="49"/>
      <c r="H258" s="49"/>
      <c r="I258" s="49"/>
      <c r="J258" s="49"/>
      <c r="K258" s="49"/>
      <c r="L258" s="50">
        <f>M167+M195+M227+M257</f>
        <v>91534.25</v>
      </c>
      <c r="M258" s="50">
        <f t="shared" si="13"/>
        <v>91534.25</v>
      </c>
    </row>
    <row r="259" spans="1:13" ht="15.45" customHeight="1" thickBot="1" x14ac:dyDescent="0.35">
      <c r="A259" s="51" t="s">
        <v>819</v>
      </c>
      <c r="B259" s="51" t="s">
        <v>820</v>
      </c>
      <c r="C259" s="52"/>
      <c r="D259" s="83" t="s">
        <v>821</v>
      </c>
      <c r="E259" s="83"/>
      <c r="F259" s="83"/>
      <c r="G259" s="83"/>
      <c r="H259" s="83"/>
      <c r="I259" s="83"/>
      <c r="J259" s="83"/>
      <c r="K259" s="52"/>
      <c r="L259" s="53">
        <f>L346</f>
        <v>282170.86</v>
      </c>
      <c r="M259" s="53">
        <f t="shared" si="13"/>
        <v>282170.86</v>
      </c>
    </row>
    <row r="260" spans="1:13" ht="15.45" customHeight="1" thickBot="1" x14ac:dyDescent="0.35">
      <c r="A260" s="17" t="s">
        <v>822</v>
      </c>
      <c r="B260" s="17" t="s">
        <v>823</v>
      </c>
      <c r="C260" s="18"/>
      <c r="D260" s="80" t="s">
        <v>824</v>
      </c>
      <c r="E260" s="80"/>
      <c r="F260" s="80"/>
      <c r="G260" s="80"/>
      <c r="H260" s="80"/>
      <c r="I260" s="80"/>
      <c r="J260" s="80"/>
      <c r="K260" s="18"/>
      <c r="L260" s="19">
        <f>L297</f>
        <v>195744.58000000002</v>
      </c>
      <c r="M260" s="19">
        <f t="shared" si="13"/>
        <v>195744.58</v>
      </c>
    </row>
    <row r="261" spans="1:13" ht="15.45" customHeight="1" thickBot="1" x14ac:dyDescent="0.35">
      <c r="A261" s="20" t="s">
        <v>825</v>
      </c>
      <c r="B261" s="20" t="s">
        <v>826</v>
      </c>
      <c r="C261" s="21"/>
      <c r="D261" s="81" t="s">
        <v>827</v>
      </c>
      <c r="E261" s="81"/>
      <c r="F261" s="81"/>
      <c r="G261" s="81"/>
      <c r="H261" s="81"/>
      <c r="I261" s="81"/>
      <c r="J261" s="81"/>
      <c r="K261" s="21"/>
      <c r="L261" s="22">
        <f>L271</f>
        <v>31823.439999999999</v>
      </c>
      <c r="M261" s="22">
        <f t="shared" si="13"/>
        <v>31823.439999999999</v>
      </c>
    </row>
    <row r="262" spans="1:13" ht="30.6" customHeight="1" thickBot="1" x14ac:dyDescent="0.35">
      <c r="A262" s="10" t="s">
        <v>828</v>
      </c>
      <c r="B262" s="5" t="s">
        <v>829</v>
      </c>
      <c r="C262" s="5" t="s">
        <v>830</v>
      </c>
      <c r="D262" s="82" t="s">
        <v>831</v>
      </c>
      <c r="E262" s="82"/>
      <c r="F262" s="82"/>
      <c r="G262" s="82"/>
      <c r="H262" s="82"/>
      <c r="I262" s="82"/>
      <c r="J262" s="82"/>
      <c r="K262" s="23">
        <f>SUM(K264:K264)</f>
        <v>23927.4</v>
      </c>
      <c r="L262" s="24">
        <f>L270</f>
        <v>1.33</v>
      </c>
      <c r="M262" s="24">
        <f>ROUND(K262*L262,2)</f>
        <v>31823.439999999999</v>
      </c>
    </row>
    <row r="263" spans="1:13" ht="15.15" customHeight="1" thickBot="1" x14ac:dyDescent="0.35">
      <c r="A263" s="25"/>
      <c r="B263" s="25"/>
      <c r="C263" s="25"/>
      <c r="D263" s="25"/>
      <c r="E263" s="26"/>
      <c r="F263" s="28" t="s">
        <v>832</v>
      </c>
      <c r="G263" s="28" t="s">
        <v>833</v>
      </c>
      <c r="H263" s="28" t="s">
        <v>834</v>
      </c>
      <c r="I263" s="28" t="s">
        <v>835</v>
      </c>
      <c r="J263" s="28" t="s">
        <v>836</v>
      </c>
      <c r="K263" s="28" t="s">
        <v>837</v>
      </c>
      <c r="L263" s="25"/>
      <c r="M263" s="25"/>
    </row>
    <row r="264" spans="1:13" ht="24.3" customHeight="1" thickBot="1" x14ac:dyDescent="0.35">
      <c r="A264" s="25"/>
      <c r="B264" s="25"/>
      <c r="C264" s="25"/>
      <c r="D264" s="29"/>
      <c r="E264" s="30" t="s">
        <v>838</v>
      </c>
      <c r="F264" s="31"/>
      <c r="G264" s="32"/>
      <c r="H264" s="32"/>
      <c r="I264" s="32">
        <v>23927.4</v>
      </c>
      <c r="J264" s="34">
        <f>ROUND(I264,3)</f>
        <v>23927.4</v>
      </c>
      <c r="K264" s="36">
        <f>SUM(J264:J264)</f>
        <v>23927.4</v>
      </c>
      <c r="L264" s="25"/>
      <c r="M264" s="25"/>
    </row>
    <row r="265" spans="1:13" ht="30.6" customHeight="1" thickBot="1" x14ac:dyDescent="0.35">
      <c r="A265" s="5" t="s">
        <v>839</v>
      </c>
      <c r="B265" s="5" t="s">
        <v>840</v>
      </c>
      <c r="C265" s="5" t="s">
        <v>841</v>
      </c>
      <c r="D265" s="82" t="s">
        <v>842</v>
      </c>
      <c r="E265" s="82"/>
      <c r="F265" s="82"/>
      <c r="G265" s="82"/>
      <c r="H265" s="82"/>
      <c r="I265" s="82"/>
      <c r="J265" s="82"/>
      <c r="K265" s="23">
        <v>1</v>
      </c>
      <c r="L265" s="23">
        <f>ROUND(0.815,3)</f>
        <v>0.81499999999999995</v>
      </c>
      <c r="M265" s="24">
        <f>ROUND(K265*L265,2)</f>
        <v>0.82</v>
      </c>
    </row>
    <row r="266" spans="1:13" ht="15.15" customHeight="1" thickBot="1" x14ac:dyDescent="0.35">
      <c r="A266" s="5" t="s">
        <v>843</v>
      </c>
      <c r="B266" s="5" t="s">
        <v>844</v>
      </c>
      <c r="C266" s="5" t="s">
        <v>845</v>
      </c>
      <c r="D266" s="82" t="s">
        <v>846</v>
      </c>
      <c r="E266" s="82"/>
      <c r="F266" s="82"/>
      <c r="G266" s="82"/>
      <c r="H266" s="82"/>
      <c r="I266" s="82"/>
      <c r="J266" s="82"/>
      <c r="K266" s="23">
        <v>1.4999999999999999E-2</v>
      </c>
      <c r="L266" s="23">
        <f>ROUND(1.789,3)</f>
        <v>1.7889999999999999</v>
      </c>
      <c r="M266" s="24">
        <f>ROUND(K266*L266,2)</f>
        <v>0.03</v>
      </c>
    </row>
    <row r="267" spans="1:13" ht="15.15" customHeight="1" thickBot="1" x14ac:dyDescent="0.35">
      <c r="A267" s="5" t="s">
        <v>847</v>
      </c>
      <c r="B267" s="5" t="s">
        <v>848</v>
      </c>
      <c r="C267" s="5" t="s">
        <v>849</v>
      </c>
      <c r="D267" s="82" t="s">
        <v>850</v>
      </c>
      <c r="E267" s="82"/>
      <c r="F267" s="82"/>
      <c r="G267" s="82"/>
      <c r="H267" s="82"/>
      <c r="I267" s="82"/>
      <c r="J267" s="82"/>
      <c r="K267" s="23">
        <v>8.9999999999999993E-3</v>
      </c>
      <c r="L267" s="23">
        <f>ROUND(24.02,3)</f>
        <v>24.02</v>
      </c>
      <c r="M267" s="24">
        <f>ROUND(K267*L267,2)</f>
        <v>0.22</v>
      </c>
    </row>
    <row r="268" spans="1:13" ht="15.15" customHeight="1" thickBot="1" x14ac:dyDescent="0.35">
      <c r="A268" s="5" t="s">
        <v>851</v>
      </c>
      <c r="B268" s="5" t="s">
        <v>852</v>
      </c>
      <c r="C268" s="5" t="s">
        <v>853</v>
      </c>
      <c r="D268" s="82" t="s">
        <v>854</v>
      </c>
      <c r="E268" s="82"/>
      <c r="F268" s="82"/>
      <c r="G268" s="82"/>
      <c r="H268" s="82"/>
      <c r="I268" s="82"/>
      <c r="J268" s="82"/>
      <c r="K268" s="23">
        <v>8.9999999999999993E-3</v>
      </c>
      <c r="L268" s="23">
        <f>ROUND(21.49,3)</f>
        <v>21.49</v>
      </c>
      <c r="M268" s="24">
        <f>ROUND(K268*L268,2)</f>
        <v>0.19</v>
      </c>
    </row>
    <row r="269" spans="1:13" ht="15.15" customHeight="1" thickBot="1" x14ac:dyDescent="0.35">
      <c r="A269" s="5" t="s">
        <v>855</v>
      </c>
      <c r="B269" s="5"/>
      <c r="C269" s="5" t="s">
        <v>856</v>
      </c>
      <c r="D269" s="82" t="s">
        <v>857</v>
      </c>
      <c r="E269" s="82"/>
      <c r="F269" s="82"/>
      <c r="G269" s="82"/>
      <c r="H269" s="82"/>
      <c r="I269" s="82"/>
      <c r="J269" s="82"/>
      <c r="K269" s="23">
        <v>2</v>
      </c>
      <c r="L269" s="23">
        <f>ROUND(1.26,3)</f>
        <v>1.26</v>
      </c>
      <c r="M269" s="24">
        <f>ROUND((K269*L269)/100,2)</f>
        <v>0.03</v>
      </c>
    </row>
    <row r="270" spans="1:13" ht="15.45" customHeight="1" thickBot="1" x14ac:dyDescent="0.35">
      <c r="A270" s="37"/>
      <c r="B270" s="37"/>
      <c r="C270" s="37"/>
      <c r="D270" s="38" t="s">
        <v>858</v>
      </c>
      <c r="E270" s="37"/>
      <c r="F270" s="37"/>
      <c r="G270" s="37"/>
      <c r="H270" s="37"/>
      <c r="I270" s="37"/>
      <c r="J270" s="37"/>
      <c r="K270" s="39">
        <v>23927.4</v>
      </c>
      <c r="L270" s="40">
        <f>ROUND((M265+M266+M267+M268+M269)*(1+M2/100),2)</f>
        <v>1.33</v>
      </c>
      <c r="M270" s="40">
        <f>ROUND(K270*L270,2)</f>
        <v>31823.439999999999</v>
      </c>
    </row>
    <row r="271" spans="1:13" ht="15.45" customHeight="1" thickBot="1" x14ac:dyDescent="0.35">
      <c r="A271" s="41"/>
      <c r="B271" s="41"/>
      <c r="C271" s="41"/>
      <c r="D271" s="42" t="s">
        <v>859</v>
      </c>
      <c r="E271" s="43"/>
      <c r="F271" s="43"/>
      <c r="G271" s="43"/>
      <c r="H271" s="43"/>
      <c r="I271" s="43"/>
      <c r="J271" s="43"/>
      <c r="K271" s="43"/>
      <c r="L271" s="44">
        <f>M262</f>
        <v>31823.439999999999</v>
      </c>
      <c r="M271" s="44">
        <f>ROUND(L271,2)</f>
        <v>31823.439999999999</v>
      </c>
    </row>
    <row r="272" spans="1:13" ht="15.45" customHeight="1" thickBot="1" x14ac:dyDescent="0.35">
      <c r="A272" s="54" t="s">
        <v>860</v>
      </c>
      <c r="B272" s="54" t="s">
        <v>861</v>
      </c>
      <c r="C272" s="55"/>
      <c r="D272" s="84" t="s">
        <v>862</v>
      </c>
      <c r="E272" s="84"/>
      <c r="F272" s="84"/>
      <c r="G272" s="84"/>
      <c r="H272" s="84"/>
      <c r="I272" s="84"/>
      <c r="J272" s="84"/>
      <c r="K272" s="55"/>
      <c r="L272" s="56">
        <f>L283</f>
        <v>144981.89000000001</v>
      </c>
      <c r="M272" s="56">
        <f>ROUND(L272,2)</f>
        <v>144981.89000000001</v>
      </c>
    </row>
    <row r="273" spans="1:13" ht="30.6" customHeight="1" thickBot="1" x14ac:dyDescent="0.35">
      <c r="A273" s="10" t="s">
        <v>863</v>
      </c>
      <c r="B273" s="5" t="s">
        <v>864</v>
      </c>
      <c r="C273" s="5" t="s">
        <v>865</v>
      </c>
      <c r="D273" s="82" t="s">
        <v>866</v>
      </c>
      <c r="E273" s="82"/>
      <c r="F273" s="82"/>
      <c r="G273" s="82"/>
      <c r="H273" s="82"/>
      <c r="I273" s="82"/>
      <c r="J273" s="82"/>
      <c r="K273" s="23">
        <f>SUM(K275:K276)</f>
        <v>83804.56</v>
      </c>
      <c r="L273" s="24">
        <f>L282</f>
        <v>1.73</v>
      </c>
      <c r="M273" s="24">
        <f>ROUND(K273*L273,2)</f>
        <v>144981.89000000001</v>
      </c>
    </row>
    <row r="274" spans="1:13" ht="15.15" customHeight="1" thickBot="1" x14ac:dyDescent="0.35">
      <c r="A274" s="25"/>
      <c r="B274" s="25"/>
      <c r="C274" s="25"/>
      <c r="D274" s="25"/>
      <c r="E274" s="26"/>
      <c r="F274" s="28" t="s">
        <v>867</v>
      </c>
      <c r="G274" s="28" t="s">
        <v>868</v>
      </c>
      <c r="H274" s="28" t="s">
        <v>869</v>
      </c>
      <c r="I274" s="28" t="s">
        <v>870</v>
      </c>
      <c r="J274" s="28" t="s">
        <v>871</v>
      </c>
      <c r="K274" s="28" t="s">
        <v>872</v>
      </c>
      <c r="L274" s="25"/>
      <c r="M274" s="25"/>
    </row>
    <row r="275" spans="1:13" ht="24.3" customHeight="1" thickBot="1" x14ac:dyDescent="0.35">
      <c r="A275" s="25"/>
      <c r="B275" s="25"/>
      <c r="C275" s="25"/>
      <c r="D275" s="29"/>
      <c r="E275" s="30" t="s">
        <v>873</v>
      </c>
      <c r="F275" s="31"/>
      <c r="G275" s="32"/>
      <c r="H275" s="32"/>
      <c r="I275" s="32">
        <v>29200.799999999999</v>
      </c>
      <c r="J275" s="34">
        <f>ROUND(I275,3)</f>
        <v>29200.799999999999</v>
      </c>
      <c r="K275" s="57"/>
      <c r="L275" s="25"/>
      <c r="M275" s="25"/>
    </row>
    <row r="276" spans="1:13" ht="24.3" customHeight="1" thickBot="1" x14ac:dyDescent="0.35">
      <c r="A276" s="25"/>
      <c r="B276" s="25"/>
      <c r="C276" s="25"/>
      <c r="D276" s="29"/>
      <c r="E276" s="5" t="s">
        <v>874</v>
      </c>
      <c r="F276" s="3"/>
      <c r="G276" s="23"/>
      <c r="H276" s="23"/>
      <c r="I276" s="23">
        <v>54603.76</v>
      </c>
      <c r="J276" s="33">
        <f>ROUND(I276,3)</f>
        <v>54603.76</v>
      </c>
      <c r="K276" s="35">
        <f>SUM(J275:J276)</f>
        <v>83804.56</v>
      </c>
      <c r="L276" s="25"/>
      <c r="M276" s="25"/>
    </row>
    <row r="277" spans="1:13" ht="30.6" customHeight="1" thickBot="1" x14ac:dyDescent="0.35">
      <c r="A277" s="5" t="s">
        <v>875</v>
      </c>
      <c r="B277" s="5" t="s">
        <v>876</v>
      </c>
      <c r="C277" s="5" t="s">
        <v>877</v>
      </c>
      <c r="D277" s="82" t="s">
        <v>878</v>
      </c>
      <c r="E277" s="82"/>
      <c r="F277" s="82"/>
      <c r="G277" s="82"/>
      <c r="H277" s="82"/>
      <c r="I277" s="82"/>
      <c r="J277" s="82"/>
      <c r="K277" s="23">
        <v>1</v>
      </c>
      <c r="L277" s="23">
        <f>ROUND(0.731,3)</f>
        <v>0.73099999999999998</v>
      </c>
      <c r="M277" s="24">
        <f>ROUND(K277*L277,2)</f>
        <v>0.73</v>
      </c>
    </row>
    <row r="278" spans="1:13" ht="15.15" customHeight="1" thickBot="1" x14ac:dyDescent="0.35">
      <c r="A278" s="5" t="s">
        <v>879</v>
      </c>
      <c r="B278" s="5" t="s">
        <v>880</v>
      </c>
      <c r="C278" s="5" t="s">
        <v>881</v>
      </c>
      <c r="D278" s="82" t="s">
        <v>882</v>
      </c>
      <c r="E278" s="82"/>
      <c r="F278" s="82"/>
      <c r="G278" s="82"/>
      <c r="H278" s="82"/>
      <c r="I278" s="82"/>
      <c r="J278" s="82"/>
      <c r="K278" s="23">
        <v>3.5999999999999997E-2</v>
      </c>
      <c r="L278" s="23">
        <f>ROUND(4.311,3)</f>
        <v>4.3109999999999999</v>
      </c>
      <c r="M278" s="24">
        <f>ROUND(K278*L278,2)</f>
        <v>0.16</v>
      </c>
    </row>
    <row r="279" spans="1:13" ht="15.15" customHeight="1" thickBot="1" x14ac:dyDescent="0.35">
      <c r="A279" s="5" t="s">
        <v>883</v>
      </c>
      <c r="B279" s="5" t="s">
        <v>884</v>
      </c>
      <c r="C279" s="5" t="s">
        <v>885</v>
      </c>
      <c r="D279" s="82" t="s">
        <v>886</v>
      </c>
      <c r="E279" s="82"/>
      <c r="F279" s="82"/>
      <c r="G279" s="82"/>
      <c r="H279" s="82"/>
      <c r="I279" s="82"/>
      <c r="J279" s="82"/>
      <c r="K279" s="23">
        <v>2.1000000000000001E-2</v>
      </c>
      <c r="L279" s="23">
        <f>ROUND(24.02,3)</f>
        <v>24.02</v>
      </c>
      <c r="M279" s="24">
        <f>ROUND(K279*L279,2)</f>
        <v>0.5</v>
      </c>
    </row>
    <row r="280" spans="1:13" ht="15.15" customHeight="1" thickBot="1" x14ac:dyDescent="0.35">
      <c r="A280" s="5" t="s">
        <v>887</v>
      </c>
      <c r="B280" s="5" t="s">
        <v>888</v>
      </c>
      <c r="C280" s="5" t="s">
        <v>889</v>
      </c>
      <c r="D280" s="82" t="s">
        <v>890</v>
      </c>
      <c r="E280" s="82"/>
      <c r="F280" s="82"/>
      <c r="G280" s="82"/>
      <c r="H280" s="82"/>
      <c r="I280" s="82"/>
      <c r="J280" s="82"/>
      <c r="K280" s="23">
        <v>1.2E-2</v>
      </c>
      <c r="L280" s="23">
        <f>ROUND(21.49,3)</f>
        <v>21.49</v>
      </c>
      <c r="M280" s="24">
        <f>ROUND(K280*L280,2)</f>
        <v>0.26</v>
      </c>
    </row>
    <row r="281" spans="1:13" ht="15.15" customHeight="1" thickBot="1" x14ac:dyDescent="0.35">
      <c r="A281" s="5" t="s">
        <v>891</v>
      </c>
      <c r="B281" s="5"/>
      <c r="C281" s="5" t="s">
        <v>892</v>
      </c>
      <c r="D281" s="82" t="s">
        <v>893</v>
      </c>
      <c r="E281" s="82"/>
      <c r="F281" s="82"/>
      <c r="G281" s="82"/>
      <c r="H281" s="82"/>
      <c r="I281" s="82"/>
      <c r="J281" s="82"/>
      <c r="K281" s="23">
        <v>2</v>
      </c>
      <c r="L281" s="23">
        <f>ROUND(1.65,3)</f>
        <v>1.65</v>
      </c>
      <c r="M281" s="24">
        <f>ROUND((K281*L281)/100,2)</f>
        <v>0.03</v>
      </c>
    </row>
    <row r="282" spans="1:13" ht="15.45" customHeight="1" thickBot="1" x14ac:dyDescent="0.35">
      <c r="A282" s="37"/>
      <c r="B282" s="37"/>
      <c r="C282" s="37"/>
      <c r="D282" s="38" t="s">
        <v>894</v>
      </c>
      <c r="E282" s="37"/>
      <c r="F282" s="37"/>
      <c r="G282" s="37"/>
      <c r="H282" s="37"/>
      <c r="I282" s="37"/>
      <c r="J282" s="37"/>
      <c r="K282" s="39">
        <v>83804.56</v>
      </c>
      <c r="L282" s="40">
        <f>ROUND((M277+M278+M279+M280+M281)*(1+M2/100),2)</f>
        <v>1.73</v>
      </c>
      <c r="M282" s="40">
        <f>ROUND(K282*L282,2)</f>
        <v>144981.89000000001</v>
      </c>
    </row>
    <row r="283" spans="1:13" ht="15.45" customHeight="1" thickBot="1" x14ac:dyDescent="0.35">
      <c r="A283" s="41"/>
      <c r="B283" s="41"/>
      <c r="C283" s="41"/>
      <c r="D283" s="42" t="s">
        <v>895</v>
      </c>
      <c r="E283" s="43"/>
      <c r="F283" s="43"/>
      <c r="G283" s="43"/>
      <c r="H283" s="43"/>
      <c r="I283" s="43"/>
      <c r="J283" s="43"/>
      <c r="K283" s="43"/>
      <c r="L283" s="44">
        <f>M273</f>
        <v>144981.89000000001</v>
      </c>
      <c r="M283" s="44">
        <f>ROUND(L283,2)</f>
        <v>144981.89000000001</v>
      </c>
    </row>
    <row r="284" spans="1:13" ht="15.45" customHeight="1" thickBot="1" x14ac:dyDescent="0.35">
      <c r="A284" s="54" t="s">
        <v>896</v>
      </c>
      <c r="B284" s="54" t="s">
        <v>897</v>
      </c>
      <c r="C284" s="55"/>
      <c r="D284" s="84" t="s">
        <v>898</v>
      </c>
      <c r="E284" s="84"/>
      <c r="F284" s="84"/>
      <c r="G284" s="84"/>
      <c r="H284" s="84"/>
      <c r="I284" s="84"/>
      <c r="J284" s="84"/>
      <c r="K284" s="55"/>
      <c r="L284" s="56">
        <f>L296</f>
        <v>18939.25</v>
      </c>
      <c r="M284" s="56">
        <f>ROUND(L284,2)</f>
        <v>18939.25</v>
      </c>
    </row>
    <row r="285" spans="1:13" ht="30.6" customHeight="1" thickBot="1" x14ac:dyDescent="0.35">
      <c r="A285" s="10" t="s">
        <v>899</v>
      </c>
      <c r="B285" s="5" t="s">
        <v>900</v>
      </c>
      <c r="C285" s="5" t="s">
        <v>901</v>
      </c>
      <c r="D285" s="82" t="s">
        <v>902</v>
      </c>
      <c r="E285" s="82"/>
      <c r="F285" s="82"/>
      <c r="G285" s="82"/>
      <c r="H285" s="82"/>
      <c r="I285" s="82"/>
      <c r="J285" s="82"/>
      <c r="K285" s="23">
        <f>SUM(K287:K289)</f>
        <v>14568.65</v>
      </c>
      <c r="L285" s="24">
        <f>L295</f>
        <v>1.3</v>
      </c>
      <c r="M285" s="24">
        <f>ROUND(K285*L285,2)</f>
        <v>18939.25</v>
      </c>
    </row>
    <row r="286" spans="1:13" ht="15.15" customHeight="1" thickBot="1" x14ac:dyDescent="0.35">
      <c r="A286" s="25"/>
      <c r="B286" s="25"/>
      <c r="C286" s="25"/>
      <c r="D286" s="25"/>
      <c r="E286" s="26"/>
      <c r="F286" s="28" t="s">
        <v>903</v>
      </c>
      <c r="G286" s="28" t="s">
        <v>904</v>
      </c>
      <c r="H286" s="28" t="s">
        <v>905</v>
      </c>
      <c r="I286" s="28" t="s">
        <v>906</v>
      </c>
      <c r="J286" s="28" t="s">
        <v>907</v>
      </c>
      <c r="K286" s="28" t="s">
        <v>908</v>
      </c>
      <c r="L286" s="25"/>
      <c r="M286" s="25"/>
    </row>
    <row r="287" spans="1:13" ht="21.3" customHeight="1" thickBot="1" x14ac:dyDescent="0.35">
      <c r="A287" s="25"/>
      <c r="B287" s="25"/>
      <c r="C287" s="25"/>
      <c r="D287" s="29"/>
      <c r="E287" s="30" t="s">
        <v>909</v>
      </c>
      <c r="F287" s="31"/>
      <c r="G287" s="32"/>
      <c r="H287" s="32"/>
      <c r="I287" s="32">
        <v>9113.65</v>
      </c>
      <c r="J287" s="34">
        <f>ROUND(I287,3)</f>
        <v>9113.65</v>
      </c>
      <c r="K287" s="57"/>
      <c r="L287" s="25"/>
      <c r="M287" s="25"/>
    </row>
    <row r="288" spans="1:13" ht="15.15" customHeight="1" thickBot="1" x14ac:dyDescent="0.35">
      <c r="A288" s="25"/>
      <c r="B288" s="25"/>
      <c r="C288" s="25"/>
      <c r="D288" s="29"/>
      <c r="E288" s="5"/>
      <c r="F288" s="3"/>
      <c r="G288" s="23"/>
      <c r="H288" s="23"/>
      <c r="I288" s="23">
        <v>4762.82</v>
      </c>
      <c r="J288" s="33">
        <f>ROUND(I288,3)</f>
        <v>4762.82</v>
      </c>
      <c r="K288" s="25"/>
      <c r="L288" s="25"/>
      <c r="M288" s="25"/>
    </row>
    <row r="289" spans="1:13" ht="21.3" customHeight="1" thickBot="1" x14ac:dyDescent="0.35">
      <c r="A289" s="25"/>
      <c r="B289" s="25"/>
      <c r="C289" s="25"/>
      <c r="D289" s="29"/>
      <c r="E289" s="5" t="s">
        <v>910</v>
      </c>
      <c r="F289" s="3"/>
      <c r="G289" s="23"/>
      <c r="H289" s="23"/>
      <c r="I289" s="23">
        <v>692.18</v>
      </c>
      <c r="J289" s="33">
        <f>ROUND(I289,3)</f>
        <v>692.18</v>
      </c>
      <c r="K289" s="35">
        <f>SUM(J287:J289)</f>
        <v>14568.65</v>
      </c>
      <c r="L289" s="25"/>
      <c r="M289" s="25"/>
    </row>
    <row r="290" spans="1:13" ht="30.6" customHeight="1" thickBot="1" x14ac:dyDescent="0.35">
      <c r="A290" s="5" t="s">
        <v>911</v>
      </c>
      <c r="B290" s="5" t="s">
        <v>912</v>
      </c>
      <c r="C290" s="5" t="s">
        <v>913</v>
      </c>
      <c r="D290" s="82" t="s">
        <v>914</v>
      </c>
      <c r="E290" s="82"/>
      <c r="F290" s="82"/>
      <c r="G290" s="82"/>
      <c r="H290" s="82"/>
      <c r="I290" s="82"/>
      <c r="J290" s="82"/>
      <c r="K290" s="23">
        <v>1</v>
      </c>
      <c r="L290" s="23">
        <f>ROUND(0.815,3)</f>
        <v>0.81499999999999995</v>
      </c>
      <c r="M290" s="24">
        <f>ROUND(K290*L290,2)</f>
        <v>0.82</v>
      </c>
    </row>
    <row r="291" spans="1:13" ht="15.15" customHeight="1" thickBot="1" x14ac:dyDescent="0.35">
      <c r="A291" s="5" t="s">
        <v>915</v>
      </c>
      <c r="B291" s="5" t="s">
        <v>916</v>
      </c>
      <c r="C291" s="5" t="s">
        <v>917</v>
      </c>
      <c r="D291" s="82" t="s">
        <v>918</v>
      </c>
      <c r="E291" s="82"/>
      <c r="F291" s="82"/>
      <c r="G291" s="82"/>
      <c r="H291" s="82"/>
      <c r="I291" s="82"/>
      <c r="J291" s="82"/>
      <c r="K291" s="23">
        <v>1.9E-2</v>
      </c>
      <c r="L291" s="23">
        <f>ROUND(1.789,3)</f>
        <v>1.7889999999999999</v>
      </c>
      <c r="M291" s="24">
        <f>ROUND(K291*L291,2)</f>
        <v>0.03</v>
      </c>
    </row>
    <row r="292" spans="1:13" ht="15.15" customHeight="1" thickBot="1" x14ac:dyDescent="0.35">
      <c r="A292" s="5" t="s">
        <v>919</v>
      </c>
      <c r="B292" s="5" t="s">
        <v>920</v>
      </c>
      <c r="C292" s="5" t="s">
        <v>921</v>
      </c>
      <c r="D292" s="82" t="s">
        <v>922</v>
      </c>
      <c r="E292" s="82"/>
      <c r="F292" s="82"/>
      <c r="G292" s="82"/>
      <c r="H292" s="82"/>
      <c r="I292" s="82"/>
      <c r="J292" s="82"/>
      <c r="K292" s="23">
        <v>1.0999999999999999E-2</v>
      </c>
      <c r="L292" s="23">
        <f>ROUND(24.02,3)</f>
        <v>24.02</v>
      </c>
      <c r="M292" s="24">
        <f>ROUND(K292*L292,2)</f>
        <v>0.26</v>
      </c>
    </row>
    <row r="293" spans="1:13" ht="15.15" customHeight="1" thickBot="1" x14ac:dyDescent="0.35">
      <c r="A293" s="5" t="s">
        <v>923</v>
      </c>
      <c r="B293" s="5" t="s">
        <v>924</v>
      </c>
      <c r="C293" s="5" t="s">
        <v>925</v>
      </c>
      <c r="D293" s="82" t="s">
        <v>926</v>
      </c>
      <c r="E293" s="82"/>
      <c r="F293" s="82"/>
      <c r="G293" s="82"/>
      <c r="H293" s="82"/>
      <c r="I293" s="82"/>
      <c r="J293" s="82"/>
      <c r="K293" s="23">
        <v>6.0000000000000001E-3</v>
      </c>
      <c r="L293" s="23">
        <f>ROUND(21.49,3)</f>
        <v>21.49</v>
      </c>
      <c r="M293" s="24">
        <f>ROUND(K293*L293,2)</f>
        <v>0.13</v>
      </c>
    </row>
    <row r="294" spans="1:13" ht="15.15" customHeight="1" thickBot="1" x14ac:dyDescent="0.35">
      <c r="A294" s="5" t="s">
        <v>927</v>
      </c>
      <c r="B294" s="5"/>
      <c r="C294" s="5" t="s">
        <v>928</v>
      </c>
      <c r="D294" s="82" t="s">
        <v>929</v>
      </c>
      <c r="E294" s="82"/>
      <c r="F294" s="82"/>
      <c r="G294" s="82"/>
      <c r="H294" s="82"/>
      <c r="I294" s="82"/>
      <c r="J294" s="82"/>
      <c r="K294" s="23">
        <v>2</v>
      </c>
      <c r="L294" s="23">
        <f>ROUND(1.24,3)</f>
        <v>1.24</v>
      </c>
      <c r="M294" s="24">
        <f>ROUND((K294*L294)/100,2)</f>
        <v>0.02</v>
      </c>
    </row>
    <row r="295" spans="1:13" ht="15.45" customHeight="1" thickBot="1" x14ac:dyDescent="0.35">
      <c r="A295" s="37"/>
      <c r="B295" s="37"/>
      <c r="C295" s="37"/>
      <c r="D295" s="38" t="s">
        <v>930</v>
      </c>
      <c r="E295" s="37"/>
      <c r="F295" s="37"/>
      <c r="G295" s="37"/>
      <c r="H295" s="37"/>
      <c r="I295" s="37"/>
      <c r="J295" s="37"/>
      <c r="K295" s="39">
        <v>14568.65</v>
      </c>
      <c r="L295" s="40">
        <f>ROUND((M290+M291+M292+M293+M294)*(1+M2/100),2)</f>
        <v>1.3</v>
      </c>
      <c r="M295" s="40">
        <f>ROUND(K295*L295,2)</f>
        <v>18939.25</v>
      </c>
    </row>
    <row r="296" spans="1:13" ht="15.45" customHeight="1" thickBot="1" x14ac:dyDescent="0.35">
      <c r="A296" s="41"/>
      <c r="B296" s="41"/>
      <c r="C296" s="41"/>
      <c r="D296" s="42" t="s">
        <v>931</v>
      </c>
      <c r="E296" s="43"/>
      <c r="F296" s="43"/>
      <c r="G296" s="43"/>
      <c r="H296" s="43"/>
      <c r="I296" s="43"/>
      <c r="J296" s="43"/>
      <c r="K296" s="43"/>
      <c r="L296" s="44">
        <f>M285</f>
        <v>18939.25</v>
      </c>
      <c r="M296" s="44">
        <f>ROUND(L296,2)</f>
        <v>18939.25</v>
      </c>
    </row>
    <row r="297" spans="1:13" ht="15.45" customHeight="1" thickBot="1" x14ac:dyDescent="0.35">
      <c r="A297" s="41"/>
      <c r="B297" s="41"/>
      <c r="C297" s="41"/>
      <c r="D297" s="45" t="s">
        <v>932</v>
      </c>
      <c r="E297" s="46"/>
      <c r="F297" s="46"/>
      <c r="G297" s="46"/>
      <c r="H297" s="46"/>
      <c r="I297" s="46"/>
      <c r="J297" s="46"/>
      <c r="K297" s="46"/>
      <c r="L297" s="47">
        <f>M271+M283+M296</f>
        <v>195744.58000000002</v>
      </c>
      <c r="M297" s="47">
        <f>ROUND(L297,2)</f>
        <v>195744.58</v>
      </c>
    </row>
    <row r="298" spans="1:13" ht="15.45" customHeight="1" thickBot="1" x14ac:dyDescent="0.35">
      <c r="A298" s="62" t="s">
        <v>933</v>
      </c>
      <c r="B298" s="62" t="s">
        <v>934</v>
      </c>
      <c r="C298" s="63"/>
      <c r="D298" s="86" t="s">
        <v>935</v>
      </c>
      <c r="E298" s="86"/>
      <c r="F298" s="86"/>
      <c r="G298" s="86"/>
      <c r="H298" s="86"/>
      <c r="I298" s="86"/>
      <c r="J298" s="86"/>
      <c r="K298" s="63"/>
      <c r="L298" s="64">
        <f>L345</f>
        <v>86426.28</v>
      </c>
      <c r="M298" s="64">
        <f>ROUND(L298,2)</f>
        <v>86426.28</v>
      </c>
    </row>
    <row r="299" spans="1:13" ht="15.45" customHeight="1" thickBot="1" x14ac:dyDescent="0.35">
      <c r="A299" s="20" t="s">
        <v>936</v>
      </c>
      <c r="B299" s="20" t="s">
        <v>937</v>
      </c>
      <c r="C299" s="21"/>
      <c r="D299" s="81" t="s">
        <v>938</v>
      </c>
      <c r="E299" s="81"/>
      <c r="F299" s="81"/>
      <c r="G299" s="81"/>
      <c r="H299" s="81"/>
      <c r="I299" s="81"/>
      <c r="J299" s="81"/>
      <c r="K299" s="21"/>
      <c r="L299" s="22">
        <f>L344</f>
        <v>86426.28</v>
      </c>
      <c r="M299" s="22">
        <f>ROUND(L299,2)</f>
        <v>86426.28</v>
      </c>
    </row>
    <row r="300" spans="1:13" ht="67.5" customHeight="1" thickBot="1" x14ac:dyDescent="0.35">
      <c r="A300" s="10" t="s">
        <v>939</v>
      </c>
      <c r="B300" s="5" t="s">
        <v>940</v>
      </c>
      <c r="C300" s="5" t="s">
        <v>941</v>
      </c>
      <c r="D300" s="82" t="s">
        <v>942</v>
      </c>
      <c r="E300" s="82"/>
      <c r="F300" s="82"/>
      <c r="G300" s="82"/>
      <c r="H300" s="82"/>
      <c r="I300" s="82"/>
      <c r="J300" s="82"/>
      <c r="K300" s="23">
        <f>SUM(K302:K302)</f>
        <v>856.1</v>
      </c>
      <c r="L300" s="24">
        <f>L321</f>
        <v>70.91</v>
      </c>
      <c r="M300" s="24">
        <f>ROUND(K300*L300,2)</f>
        <v>60706.05</v>
      </c>
    </row>
    <row r="301" spans="1:13" ht="15.15" customHeight="1" thickBot="1" x14ac:dyDescent="0.35">
      <c r="A301" s="25"/>
      <c r="B301" s="25"/>
      <c r="C301" s="25"/>
      <c r="D301" s="25"/>
      <c r="E301" s="26"/>
      <c r="F301" s="28" t="s">
        <v>943</v>
      </c>
      <c r="G301" s="28" t="s">
        <v>944</v>
      </c>
      <c r="H301" s="28" t="s">
        <v>945</v>
      </c>
      <c r="I301" s="28" t="s">
        <v>946</v>
      </c>
      <c r="J301" s="28" t="s">
        <v>947</v>
      </c>
      <c r="K301" s="28" t="s">
        <v>948</v>
      </c>
      <c r="L301" s="25"/>
      <c r="M301" s="25"/>
    </row>
    <row r="302" spans="1:13" ht="15.15" customHeight="1" thickBot="1" x14ac:dyDescent="0.35">
      <c r="A302" s="25"/>
      <c r="B302" s="25"/>
      <c r="C302" s="25"/>
      <c r="D302" s="29"/>
      <c r="E302" s="30" t="s">
        <v>949</v>
      </c>
      <c r="F302" s="31"/>
      <c r="G302" s="32"/>
      <c r="H302" s="32"/>
      <c r="I302" s="32">
        <v>856.1</v>
      </c>
      <c r="J302" s="34">
        <f>ROUND(I302,3)</f>
        <v>856.1</v>
      </c>
      <c r="K302" s="36">
        <f>SUM(J302:J302)</f>
        <v>856.1</v>
      </c>
      <c r="L302" s="25"/>
      <c r="M302" s="25"/>
    </row>
    <row r="303" spans="1:13" ht="24.3" customHeight="1" thickBot="1" x14ac:dyDescent="0.35">
      <c r="A303" s="5" t="s">
        <v>950</v>
      </c>
      <c r="B303" s="5" t="s">
        <v>951</v>
      </c>
      <c r="C303" s="5" t="s">
        <v>952</v>
      </c>
      <c r="D303" s="82" t="s">
        <v>953</v>
      </c>
      <c r="E303" s="82"/>
      <c r="F303" s="82"/>
      <c r="G303" s="82"/>
      <c r="H303" s="82"/>
      <c r="I303" s="82"/>
      <c r="J303" s="82"/>
      <c r="K303" s="23">
        <v>1.05</v>
      </c>
      <c r="L303" s="23">
        <f>ROUND(16.104,3)</f>
        <v>16.103999999999999</v>
      </c>
      <c r="M303" s="24">
        <f t="shared" ref="M303:M319" si="14">ROUND(K303*L303,2)</f>
        <v>16.91</v>
      </c>
    </row>
    <row r="304" spans="1:13" ht="15.15" customHeight="1" thickBot="1" x14ac:dyDescent="0.35">
      <c r="A304" s="5" t="s">
        <v>954</v>
      </c>
      <c r="B304" s="5" t="s">
        <v>955</v>
      </c>
      <c r="C304" s="5" t="s">
        <v>956</v>
      </c>
      <c r="D304" s="82" t="s">
        <v>957</v>
      </c>
      <c r="E304" s="82"/>
      <c r="F304" s="82"/>
      <c r="G304" s="82"/>
      <c r="H304" s="82"/>
      <c r="I304" s="82"/>
      <c r="J304" s="82"/>
      <c r="K304" s="23">
        <v>0.04</v>
      </c>
      <c r="L304" s="23">
        <f>ROUND(14.423,3)</f>
        <v>14.423</v>
      </c>
      <c r="M304" s="24">
        <f t="shared" si="14"/>
        <v>0.57999999999999996</v>
      </c>
    </row>
    <row r="305" spans="1:13" ht="15.15" customHeight="1" thickBot="1" x14ac:dyDescent="0.35">
      <c r="A305" s="5" t="s">
        <v>958</v>
      </c>
      <c r="B305" s="5" t="s">
        <v>959</v>
      </c>
      <c r="C305" s="5" t="s">
        <v>960</v>
      </c>
      <c r="D305" s="82" t="s">
        <v>961</v>
      </c>
      <c r="E305" s="82"/>
      <c r="F305" s="82"/>
      <c r="G305" s="82"/>
      <c r="H305" s="82"/>
      <c r="I305" s="82"/>
      <c r="J305" s="82"/>
      <c r="K305" s="23">
        <v>6</v>
      </c>
      <c r="L305" s="23">
        <f>ROUND(0.188,3)</f>
        <v>0.188</v>
      </c>
      <c r="M305" s="24">
        <f t="shared" si="14"/>
        <v>1.1299999999999999</v>
      </c>
    </row>
    <row r="306" spans="1:13" ht="15.15" customHeight="1" thickBot="1" x14ac:dyDescent="0.35">
      <c r="A306" s="5" t="s">
        <v>962</v>
      </c>
      <c r="B306" s="5" t="s">
        <v>963</v>
      </c>
      <c r="C306" s="5" t="s">
        <v>964</v>
      </c>
      <c r="D306" s="82" t="s">
        <v>965</v>
      </c>
      <c r="E306" s="82"/>
      <c r="F306" s="82"/>
      <c r="G306" s="82"/>
      <c r="H306" s="82"/>
      <c r="I306" s="82"/>
      <c r="J306" s="82"/>
      <c r="K306" s="23">
        <v>3</v>
      </c>
      <c r="L306" s="23">
        <f>ROUND(0.047,3)</f>
        <v>4.7E-2</v>
      </c>
      <c r="M306" s="24">
        <f t="shared" si="14"/>
        <v>0.14000000000000001</v>
      </c>
    </row>
    <row r="307" spans="1:13" ht="15.15" customHeight="1" thickBot="1" x14ac:dyDescent="0.35">
      <c r="A307" s="5" t="s">
        <v>966</v>
      </c>
      <c r="B307" s="5" t="s">
        <v>967</v>
      </c>
      <c r="C307" s="5" t="s">
        <v>968</v>
      </c>
      <c r="D307" s="82" t="s">
        <v>969</v>
      </c>
      <c r="E307" s="82"/>
      <c r="F307" s="82"/>
      <c r="G307" s="82"/>
      <c r="H307" s="82"/>
      <c r="I307" s="82"/>
      <c r="J307" s="82"/>
      <c r="K307" s="23">
        <v>12.4</v>
      </c>
      <c r="L307" s="23">
        <f>ROUND(0.845,3)</f>
        <v>0.84499999999999997</v>
      </c>
      <c r="M307" s="24">
        <f t="shared" si="14"/>
        <v>10.48</v>
      </c>
    </row>
    <row r="308" spans="1:13" ht="15.15" customHeight="1" thickBot="1" x14ac:dyDescent="0.35">
      <c r="A308" s="5" t="s">
        <v>970</v>
      </c>
      <c r="B308" s="5" t="s">
        <v>971</v>
      </c>
      <c r="C308" s="5" t="s">
        <v>972</v>
      </c>
      <c r="D308" s="82" t="s">
        <v>973</v>
      </c>
      <c r="E308" s="82"/>
      <c r="F308" s="82"/>
      <c r="G308" s="82"/>
      <c r="H308" s="82"/>
      <c r="I308" s="82"/>
      <c r="J308" s="82"/>
      <c r="K308" s="23">
        <v>0.16500000000000001</v>
      </c>
      <c r="L308" s="23">
        <f>ROUND(0.792,3)</f>
        <v>0.79200000000000004</v>
      </c>
      <c r="M308" s="24">
        <f t="shared" si="14"/>
        <v>0.13</v>
      </c>
    </row>
    <row r="309" spans="1:13" ht="15.15" customHeight="1" thickBot="1" x14ac:dyDescent="0.35">
      <c r="A309" s="5" t="s">
        <v>974</v>
      </c>
      <c r="B309" s="5" t="s">
        <v>975</v>
      </c>
      <c r="C309" s="5" t="s">
        <v>976</v>
      </c>
      <c r="D309" s="82" t="s">
        <v>977</v>
      </c>
      <c r="E309" s="82"/>
      <c r="F309" s="82"/>
      <c r="G309" s="82"/>
      <c r="H309" s="82"/>
      <c r="I309" s="82"/>
      <c r="J309" s="82"/>
      <c r="K309" s="23">
        <v>1.1499999999999999</v>
      </c>
      <c r="L309" s="23">
        <f>ROUND(1.867,3)</f>
        <v>1.867</v>
      </c>
      <c r="M309" s="24">
        <f t="shared" si="14"/>
        <v>2.15</v>
      </c>
    </row>
    <row r="310" spans="1:13" ht="24.3" customHeight="1" thickBot="1" x14ac:dyDescent="0.35">
      <c r="A310" s="5" t="s">
        <v>978</v>
      </c>
      <c r="B310" s="5" t="s">
        <v>979</v>
      </c>
      <c r="C310" s="5" t="s">
        <v>980</v>
      </c>
      <c r="D310" s="82" t="s">
        <v>981</v>
      </c>
      <c r="E310" s="82"/>
      <c r="F310" s="82"/>
      <c r="G310" s="82"/>
      <c r="H310" s="82"/>
      <c r="I310" s="82"/>
      <c r="J310" s="82"/>
      <c r="K310" s="23">
        <v>8.5999999999999993E-2</v>
      </c>
      <c r="L310" s="23">
        <f>ROUND(49.992,3)</f>
        <v>49.991999999999997</v>
      </c>
      <c r="M310" s="24">
        <f t="shared" si="14"/>
        <v>4.3</v>
      </c>
    </row>
    <row r="311" spans="1:13" ht="21.3" customHeight="1" thickBot="1" x14ac:dyDescent="0.35">
      <c r="A311" s="5" t="s">
        <v>982</v>
      </c>
      <c r="B311" s="5" t="s">
        <v>983</v>
      </c>
      <c r="C311" s="5" t="s">
        <v>984</v>
      </c>
      <c r="D311" s="82" t="s">
        <v>985</v>
      </c>
      <c r="E311" s="82"/>
      <c r="F311" s="82"/>
      <c r="G311" s="82"/>
      <c r="H311" s="82"/>
      <c r="I311" s="82"/>
      <c r="J311" s="82"/>
      <c r="K311" s="23">
        <v>10</v>
      </c>
      <c r="L311" s="23">
        <f>ROUND(0.805,3)</f>
        <v>0.80500000000000005</v>
      </c>
      <c r="M311" s="24">
        <f t="shared" si="14"/>
        <v>8.0500000000000007</v>
      </c>
    </row>
    <row r="312" spans="1:13" ht="15.15" customHeight="1" thickBot="1" x14ac:dyDescent="0.35">
      <c r="A312" s="5" t="s">
        <v>986</v>
      </c>
      <c r="B312" s="5" t="s">
        <v>987</v>
      </c>
      <c r="C312" s="5" t="s">
        <v>988</v>
      </c>
      <c r="D312" s="82" t="s">
        <v>989</v>
      </c>
      <c r="E312" s="82"/>
      <c r="F312" s="82"/>
      <c r="G312" s="82"/>
      <c r="H312" s="82"/>
      <c r="I312" s="82"/>
      <c r="J312" s="82"/>
      <c r="K312" s="23">
        <v>0.15</v>
      </c>
      <c r="L312" s="23">
        <f>ROUND(0.819,3)</f>
        <v>0.81899999999999995</v>
      </c>
      <c r="M312" s="24">
        <f t="shared" si="14"/>
        <v>0.12</v>
      </c>
    </row>
    <row r="313" spans="1:13" ht="15.15" customHeight="1" thickBot="1" x14ac:dyDescent="0.35">
      <c r="A313" s="5" t="s">
        <v>990</v>
      </c>
      <c r="B313" s="5" t="s">
        <v>991</v>
      </c>
      <c r="C313" s="5" t="s">
        <v>992</v>
      </c>
      <c r="D313" s="82" t="s">
        <v>993</v>
      </c>
      <c r="E313" s="82"/>
      <c r="F313" s="82"/>
      <c r="G313" s="82"/>
      <c r="H313" s="82"/>
      <c r="I313" s="82"/>
      <c r="J313" s="82"/>
      <c r="K313" s="23">
        <v>0.51700000000000002</v>
      </c>
      <c r="L313" s="23">
        <f>ROUND(10.285,3)</f>
        <v>10.285</v>
      </c>
      <c r="M313" s="24">
        <f t="shared" si="14"/>
        <v>5.32</v>
      </c>
    </row>
    <row r="314" spans="1:13" ht="15.15" customHeight="1" thickBot="1" x14ac:dyDescent="0.35">
      <c r="A314" s="5" t="s">
        <v>994</v>
      </c>
      <c r="B314" s="5" t="s">
        <v>995</v>
      </c>
      <c r="C314" s="5" t="s">
        <v>996</v>
      </c>
      <c r="D314" s="82" t="s">
        <v>997</v>
      </c>
      <c r="E314" s="82"/>
      <c r="F314" s="82"/>
      <c r="G314" s="82"/>
      <c r="H314" s="82"/>
      <c r="I314" s="82"/>
      <c r="J314" s="82"/>
      <c r="K314" s="23">
        <v>0.38400000000000001</v>
      </c>
      <c r="L314" s="23">
        <f>ROUND(24.02,3)</f>
        <v>24.02</v>
      </c>
      <c r="M314" s="24">
        <f t="shared" si="14"/>
        <v>9.2200000000000006</v>
      </c>
    </row>
    <row r="315" spans="1:13" ht="15.15" customHeight="1" thickBot="1" x14ac:dyDescent="0.35">
      <c r="A315" s="5" t="s">
        <v>998</v>
      </c>
      <c r="B315" s="5" t="s">
        <v>999</v>
      </c>
      <c r="C315" s="5" t="s">
        <v>1000</v>
      </c>
      <c r="D315" s="82" t="s">
        <v>1001</v>
      </c>
      <c r="E315" s="82"/>
      <c r="F315" s="82"/>
      <c r="G315" s="82"/>
      <c r="H315" s="82"/>
      <c r="I315" s="82"/>
      <c r="J315" s="82"/>
      <c r="K315" s="23">
        <v>0.14899999999999999</v>
      </c>
      <c r="L315" s="23">
        <f>ROUND(21.49,3)</f>
        <v>21.49</v>
      </c>
      <c r="M315" s="24">
        <f t="shared" si="14"/>
        <v>3.2</v>
      </c>
    </row>
    <row r="316" spans="1:13" ht="15.15" customHeight="1" thickBot="1" x14ac:dyDescent="0.35">
      <c r="A316" s="5" t="s">
        <v>1002</v>
      </c>
      <c r="B316" s="5" t="s">
        <v>1003</v>
      </c>
      <c r="C316" s="5" t="s">
        <v>1004</v>
      </c>
      <c r="D316" s="82" t="s">
        <v>1005</v>
      </c>
      <c r="E316" s="82"/>
      <c r="F316" s="82"/>
      <c r="G316" s="82"/>
      <c r="H316" s="82"/>
      <c r="I316" s="82"/>
      <c r="J316" s="82"/>
      <c r="K316" s="23">
        <v>0.106</v>
      </c>
      <c r="L316" s="23">
        <f>ROUND(24.02,3)</f>
        <v>24.02</v>
      </c>
      <c r="M316" s="24">
        <f t="shared" si="14"/>
        <v>2.5499999999999998</v>
      </c>
    </row>
    <row r="317" spans="1:13" ht="15.15" customHeight="1" thickBot="1" x14ac:dyDescent="0.35">
      <c r="A317" s="5" t="s">
        <v>1006</v>
      </c>
      <c r="B317" s="5" t="s">
        <v>1007</v>
      </c>
      <c r="C317" s="5" t="s">
        <v>1008</v>
      </c>
      <c r="D317" s="82" t="s">
        <v>1009</v>
      </c>
      <c r="E317" s="82"/>
      <c r="F317" s="82"/>
      <c r="G317" s="82"/>
      <c r="H317" s="82"/>
      <c r="I317" s="82"/>
      <c r="J317" s="82"/>
      <c r="K317" s="23">
        <v>9.0999999999999998E-2</v>
      </c>
      <c r="L317" s="23">
        <f>ROUND(21.49,3)</f>
        <v>21.49</v>
      </c>
      <c r="M317" s="24">
        <f t="shared" si="14"/>
        <v>1.96</v>
      </c>
    </row>
    <row r="318" spans="1:13" ht="15.15" customHeight="1" thickBot="1" x14ac:dyDescent="0.35">
      <c r="A318" s="5" t="s">
        <v>1010</v>
      </c>
      <c r="B318" s="5" t="s">
        <v>1011</v>
      </c>
      <c r="C318" s="5" t="s">
        <v>1012</v>
      </c>
      <c r="D318" s="82" t="s">
        <v>1013</v>
      </c>
      <c r="E318" s="82"/>
      <c r="F318" s="82"/>
      <c r="G318" s="82"/>
      <c r="H318" s="82"/>
      <c r="I318" s="82"/>
      <c r="J318" s="82"/>
      <c r="K318" s="23">
        <v>1.0999999999999999E-2</v>
      </c>
      <c r="L318" s="23">
        <f>ROUND(24.02,3)</f>
        <v>24.02</v>
      </c>
      <c r="M318" s="24">
        <f t="shared" si="14"/>
        <v>0.26</v>
      </c>
    </row>
    <row r="319" spans="1:13" ht="15.15" customHeight="1" thickBot="1" x14ac:dyDescent="0.35">
      <c r="A319" s="5" t="s">
        <v>1014</v>
      </c>
      <c r="B319" s="5" t="s">
        <v>1015</v>
      </c>
      <c r="C319" s="5" t="s">
        <v>1016</v>
      </c>
      <c r="D319" s="82" t="s">
        <v>1017</v>
      </c>
      <c r="E319" s="82"/>
      <c r="F319" s="82"/>
      <c r="G319" s="82"/>
      <c r="H319" s="82"/>
      <c r="I319" s="82"/>
      <c r="J319" s="82"/>
      <c r="K319" s="23">
        <v>4.5999999999999999E-2</v>
      </c>
      <c r="L319" s="23">
        <f>ROUND(21.49,3)</f>
        <v>21.49</v>
      </c>
      <c r="M319" s="24">
        <f t="shared" si="14"/>
        <v>0.99</v>
      </c>
    </row>
    <row r="320" spans="1:13" ht="15.15" customHeight="1" thickBot="1" x14ac:dyDescent="0.35">
      <c r="A320" s="5" t="s">
        <v>1018</v>
      </c>
      <c r="B320" s="5"/>
      <c r="C320" s="5" t="s">
        <v>1019</v>
      </c>
      <c r="D320" s="82" t="s">
        <v>1020</v>
      </c>
      <c r="E320" s="82"/>
      <c r="F320" s="82"/>
      <c r="G320" s="82"/>
      <c r="H320" s="82"/>
      <c r="I320" s="82"/>
      <c r="J320" s="82"/>
      <c r="K320" s="23">
        <v>2</v>
      </c>
      <c r="L320" s="23">
        <f>ROUND(67.49,3)</f>
        <v>67.489999999999995</v>
      </c>
      <c r="M320" s="24">
        <f>ROUND((K320*L320)/100,2)</f>
        <v>1.35</v>
      </c>
    </row>
    <row r="321" spans="1:13" ht="15.45" customHeight="1" thickBot="1" x14ac:dyDescent="0.35">
      <c r="A321" s="37"/>
      <c r="B321" s="37"/>
      <c r="C321" s="37"/>
      <c r="D321" s="38" t="s">
        <v>1021</v>
      </c>
      <c r="E321" s="37"/>
      <c r="F321" s="37"/>
      <c r="G321" s="37"/>
      <c r="H321" s="37"/>
      <c r="I321" s="37"/>
      <c r="J321" s="37"/>
      <c r="K321" s="39">
        <v>856.1</v>
      </c>
      <c r="L321" s="40">
        <f>ROUND((M303+M304+M305+M306+M307+M308+M309+M310+M311+M312+M313+M314+M315+M316+M317+M318+M319+M320)*(1+M2/100),2)</f>
        <v>70.91</v>
      </c>
      <c r="M321" s="40">
        <f>ROUND(K321*L321,2)</f>
        <v>60706.05</v>
      </c>
    </row>
    <row r="322" spans="1:13" ht="67.5" customHeight="1" thickBot="1" x14ac:dyDescent="0.35">
      <c r="A322" s="58" t="s">
        <v>1022</v>
      </c>
      <c r="B322" s="59" t="s">
        <v>1023</v>
      </c>
      <c r="C322" s="59" t="s">
        <v>1024</v>
      </c>
      <c r="D322" s="85" t="s">
        <v>1025</v>
      </c>
      <c r="E322" s="85"/>
      <c r="F322" s="85"/>
      <c r="G322" s="85"/>
      <c r="H322" s="85"/>
      <c r="I322" s="85"/>
      <c r="J322" s="85"/>
      <c r="K322" s="60">
        <f>SUM(K324:K324)</f>
        <v>402.13</v>
      </c>
      <c r="L322" s="61">
        <f>L343</f>
        <v>63.96</v>
      </c>
      <c r="M322" s="61">
        <f>ROUND(K322*L322,2)</f>
        <v>25720.23</v>
      </c>
    </row>
    <row r="323" spans="1:13" ht="15.15" customHeight="1" thickBot="1" x14ac:dyDescent="0.35">
      <c r="A323" s="25"/>
      <c r="B323" s="25"/>
      <c r="C323" s="25"/>
      <c r="D323" s="25"/>
      <c r="E323" s="26"/>
      <c r="F323" s="28" t="s">
        <v>1026</v>
      </c>
      <c r="G323" s="28" t="s">
        <v>1027</v>
      </c>
      <c r="H323" s="28" t="s">
        <v>1028</v>
      </c>
      <c r="I323" s="28" t="s">
        <v>1029</v>
      </c>
      <c r="J323" s="28" t="s">
        <v>1030</v>
      </c>
      <c r="K323" s="28" t="s">
        <v>1031</v>
      </c>
      <c r="L323" s="25"/>
      <c r="M323" s="25"/>
    </row>
    <row r="324" spans="1:13" ht="15.15" customHeight="1" thickBot="1" x14ac:dyDescent="0.35">
      <c r="A324" s="25"/>
      <c r="B324" s="25"/>
      <c r="C324" s="25"/>
      <c r="D324" s="29"/>
      <c r="E324" s="30" t="s">
        <v>1032</v>
      </c>
      <c r="F324" s="31"/>
      <c r="G324" s="32"/>
      <c r="H324" s="32"/>
      <c r="I324" s="32">
        <v>402.13</v>
      </c>
      <c r="J324" s="34">
        <f>ROUND(I324,3)</f>
        <v>402.13</v>
      </c>
      <c r="K324" s="36">
        <f>SUM(J324:J324)</f>
        <v>402.13</v>
      </c>
      <c r="L324" s="25"/>
      <c r="M324" s="25"/>
    </row>
    <row r="325" spans="1:13" ht="24.3" customHeight="1" thickBot="1" x14ac:dyDescent="0.35">
      <c r="A325" s="5" t="s">
        <v>1033</v>
      </c>
      <c r="B325" s="5" t="s">
        <v>1034</v>
      </c>
      <c r="C325" s="5" t="s">
        <v>1035</v>
      </c>
      <c r="D325" s="82" t="s">
        <v>1036</v>
      </c>
      <c r="E325" s="82"/>
      <c r="F325" s="82"/>
      <c r="G325" s="82"/>
      <c r="H325" s="82"/>
      <c r="I325" s="82"/>
      <c r="J325" s="82"/>
      <c r="K325" s="23">
        <v>1.05</v>
      </c>
      <c r="L325" s="23">
        <f>ROUND(16.104,3)</f>
        <v>16.103999999999999</v>
      </c>
      <c r="M325" s="24">
        <f t="shared" ref="M325:M341" si="15">ROUND(K325*L325,2)</f>
        <v>16.91</v>
      </c>
    </row>
    <row r="326" spans="1:13" ht="15.15" customHeight="1" thickBot="1" x14ac:dyDescent="0.35">
      <c r="A326" s="5" t="s">
        <v>1037</v>
      </c>
      <c r="B326" s="5" t="s">
        <v>1038</v>
      </c>
      <c r="C326" s="5" t="s">
        <v>1039</v>
      </c>
      <c r="D326" s="82" t="s">
        <v>1040</v>
      </c>
      <c r="E326" s="82"/>
      <c r="F326" s="82"/>
      <c r="G326" s="82"/>
      <c r="H326" s="82"/>
      <c r="I326" s="82"/>
      <c r="J326" s="82"/>
      <c r="K326" s="23">
        <v>0.04</v>
      </c>
      <c r="L326" s="23">
        <f>ROUND(14.423,3)</f>
        <v>14.423</v>
      </c>
      <c r="M326" s="24">
        <f t="shared" si="15"/>
        <v>0.57999999999999996</v>
      </c>
    </row>
    <row r="327" spans="1:13" ht="15.15" customHeight="1" thickBot="1" x14ac:dyDescent="0.35">
      <c r="A327" s="5" t="s">
        <v>1041</v>
      </c>
      <c r="B327" s="5" t="s">
        <v>1042</v>
      </c>
      <c r="C327" s="5" t="s">
        <v>1043</v>
      </c>
      <c r="D327" s="82" t="s">
        <v>1044</v>
      </c>
      <c r="E327" s="82"/>
      <c r="F327" s="82"/>
      <c r="G327" s="82"/>
      <c r="H327" s="82"/>
      <c r="I327" s="82"/>
      <c r="J327" s="82"/>
      <c r="K327" s="23">
        <v>6</v>
      </c>
      <c r="L327" s="23">
        <f>ROUND(0.188,3)</f>
        <v>0.188</v>
      </c>
      <c r="M327" s="24">
        <f t="shared" si="15"/>
        <v>1.1299999999999999</v>
      </c>
    </row>
    <row r="328" spans="1:13" ht="15.15" customHeight="1" thickBot="1" x14ac:dyDescent="0.35">
      <c r="A328" s="5" t="s">
        <v>1045</v>
      </c>
      <c r="B328" s="5" t="s">
        <v>1046</v>
      </c>
      <c r="C328" s="5" t="s">
        <v>1047</v>
      </c>
      <c r="D328" s="82" t="s">
        <v>1048</v>
      </c>
      <c r="E328" s="82"/>
      <c r="F328" s="82"/>
      <c r="G328" s="82"/>
      <c r="H328" s="82"/>
      <c r="I328" s="82"/>
      <c r="J328" s="82"/>
      <c r="K328" s="23">
        <v>3</v>
      </c>
      <c r="L328" s="23">
        <f>ROUND(0.047,3)</f>
        <v>4.7E-2</v>
      </c>
      <c r="M328" s="24">
        <f t="shared" si="15"/>
        <v>0.14000000000000001</v>
      </c>
    </row>
    <row r="329" spans="1:13" ht="15.15" customHeight="1" thickBot="1" x14ac:dyDescent="0.35">
      <c r="A329" s="5" t="s">
        <v>1049</v>
      </c>
      <c r="B329" s="5" t="s">
        <v>1050</v>
      </c>
      <c r="C329" s="5" t="s">
        <v>1051</v>
      </c>
      <c r="D329" s="82" t="s">
        <v>1052</v>
      </c>
      <c r="E329" s="82"/>
      <c r="F329" s="82"/>
      <c r="G329" s="82"/>
      <c r="H329" s="82"/>
      <c r="I329" s="82"/>
      <c r="J329" s="82"/>
      <c r="K329" s="23">
        <v>7.9</v>
      </c>
      <c r="L329" s="23">
        <f>ROUND(0.845,3)</f>
        <v>0.84499999999999997</v>
      </c>
      <c r="M329" s="24">
        <f t="shared" si="15"/>
        <v>6.68</v>
      </c>
    </row>
    <row r="330" spans="1:13" ht="15.15" customHeight="1" thickBot="1" x14ac:dyDescent="0.35">
      <c r="A330" s="5" t="s">
        <v>1053</v>
      </c>
      <c r="B330" s="5" t="s">
        <v>1054</v>
      </c>
      <c r="C330" s="5" t="s">
        <v>1055</v>
      </c>
      <c r="D330" s="82" t="s">
        <v>1056</v>
      </c>
      <c r="E330" s="82"/>
      <c r="F330" s="82"/>
      <c r="G330" s="82"/>
      <c r="H330" s="82"/>
      <c r="I330" s="82"/>
      <c r="J330" s="82"/>
      <c r="K330" s="23">
        <v>0.111</v>
      </c>
      <c r="L330" s="23">
        <f>ROUND(0.792,3)</f>
        <v>0.79200000000000004</v>
      </c>
      <c r="M330" s="24">
        <f t="shared" si="15"/>
        <v>0.09</v>
      </c>
    </row>
    <row r="331" spans="1:13" ht="15.15" customHeight="1" thickBot="1" x14ac:dyDescent="0.35">
      <c r="A331" s="5" t="s">
        <v>1057</v>
      </c>
      <c r="B331" s="5" t="s">
        <v>1058</v>
      </c>
      <c r="C331" s="5" t="s">
        <v>1059</v>
      </c>
      <c r="D331" s="82" t="s">
        <v>1060</v>
      </c>
      <c r="E331" s="82"/>
      <c r="F331" s="82"/>
      <c r="G331" s="82"/>
      <c r="H331" s="82"/>
      <c r="I331" s="82"/>
      <c r="J331" s="82"/>
      <c r="K331" s="23">
        <v>1.1499999999999999</v>
      </c>
      <c r="L331" s="23">
        <f>ROUND(1.867,3)</f>
        <v>1.867</v>
      </c>
      <c r="M331" s="24">
        <f t="shared" si="15"/>
        <v>2.15</v>
      </c>
    </row>
    <row r="332" spans="1:13" ht="24.3" customHeight="1" thickBot="1" x14ac:dyDescent="0.35">
      <c r="A332" s="5" t="s">
        <v>1061</v>
      </c>
      <c r="B332" s="5" t="s">
        <v>1062</v>
      </c>
      <c r="C332" s="5" t="s">
        <v>1063</v>
      </c>
      <c r="D332" s="82" t="s">
        <v>1064</v>
      </c>
      <c r="E332" s="82"/>
      <c r="F332" s="82"/>
      <c r="G332" s="82"/>
      <c r="H332" s="82"/>
      <c r="I332" s="82"/>
      <c r="J332" s="82"/>
      <c r="K332" s="23">
        <v>6.5000000000000002E-2</v>
      </c>
      <c r="L332" s="23">
        <f>ROUND(49.992,3)</f>
        <v>49.991999999999997</v>
      </c>
      <c r="M332" s="24">
        <f t="shared" si="15"/>
        <v>3.25</v>
      </c>
    </row>
    <row r="333" spans="1:13" ht="21.3" customHeight="1" thickBot="1" x14ac:dyDescent="0.35">
      <c r="A333" s="5" t="s">
        <v>1065</v>
      </c>
      <c r="B333" s="5" t="s">
        <v>1066</v>
      </c>
      <c r="C333" s="5" t="s">
        <v>1067</v>
      </c>
      <c r="D333" s="82" t="s">
        <v>1068</v>
      </c>
      <c r="E333" s="82"/>
      <c r="F333" s="82"/>
      <c r="G333" s="82"/>
      <c r="H333" s="82"/>
      <c r="I333" s="82"/>
      <c r="J333" s="82"/>
      <c r="K333" s="23">
        <v>10</v>
      </c>
      <c r="L333" s="23">
        <f>ROUND(0.805,3)</f>
        <v>0.80500000000000005</v>
      </c>
      <c r="M333" s="24">
        <f t="shared" si="15"/>
        <v>8.0500000000000007</v>
      </c>
    </row>
    <row r="334" spans="1:13" ht="15.15" customHeight="1" thickBot="1" x14ac:dyDescent="0.35">
      <c r="A334" s="5" t="s">
        <v>1069</v>
      </c>
      <c r="B334" s="5" t="s">
        <v>1070</v>
      </c>
      <c r="C334" s="5" t="s">
        <v>1071</v>
      </c>
      <c r="D334" s="82" t="s">
        <v>1072</v>
      </c>
      <c r="E334" s="82"/>
      <c r="F334" s="82"/>
      <c r="G334" s="82"/>
      <c r="H334" s="82"/>
      <c r="I334" s="82"/>
      <c r="J334" s="82"/>
      <c r="K334" s="23">
        <v>0.15</v>
      </c>
      <c r="L334" s="23">
        <f>ROUND(0.819,3)</f>
        <v>0.81899999999999995</v>
      </c>
      <c r="M334" s="24">
        <f t="shared" si="15"/>
        <v>0.12</v>
      </c>
    </row>
    <row r="335" spans="1:13" ht="15.15" customHeight="1" thickBot="1" x14ac:dyDescent="0.35">
      <c r="A335" s="5" t="s">
        <v>1073</v>
      </c>
      <c r="B335" s="5" t="s">
        <v>1074</v>
      </c>
      <c r="C335" s="5" t="s">
        <v>1075</v>
      </c>
      <c r="D335" s="82" t="s">
        <v>1076</v>
      </c>
      <c r="E335" s="82"/>
      <c r="F335" s="82"/>
      <c r="G335" s="82"/>
      <c r="H335" s="82"/>
      <c r="I335" s="82"/>
      <c r="J335" s="82"/>
      <c r="K335" s="23">
        <v>0.51700000000000002</v>
      </c>
      <c r="L335" s="23">
        <f>ROUND(10.285,3)</f>
        <v>10.285</v>
      </c>
      <c r="M335" s="24">
        <f t="shared" si="15"/>
        <v>5.32</v>
      </c>
    </row>
    <row r="336" spans="1:13" ht="15.15" customHeight="1" thickBot="1" x14ac:dyDescent="0.35">
      <c r="A336" s="5" t="s">
        <v>1077</v>
      </c>
      <c r="B336" s="5" t="s">
        <v>1078</v>
      </c>
      <c r="C336" s="5" t="s">
        <v>1079</v>
      </c>
      <c r="D336" s="82" t="s">
        <v>1080</v>
      </c>
      <c r="E336" s="82"/>
      <c r="F336" s="82"/>
      <c r="G336" s="82"/>
      <c r="H336" s="82"/>
      <c r="I336" s="82"/>
      <c r="J336" s="82"/>
      <c r="K336" s="23">
        <v>0.38400000000000001</v>
      </c>
      <c r="L336" s="23">
        <f>ROUND(24.02,3)</f>
        <v>24.02</v>
      </c>
      <c r="M336" s="24">
        <f t="shared" si="15"/>
        <v>9.2200000000000006</v>
      </c>
    </row>
    <row r="337" spans="1:13" ht="15.15" customHeight="1" thickBot="1" x14ac:dyDescent="0.35">
      <c r="A337" s="5" t="s">
        <v>1081</v>
      </c>
      <c r="B337" s="5" t="s">
        <v>1082</v>
      </c>
      <c r="C337" s="5" t="s">
        <v>1083</v>
      </c>
      <c r="D337" s="82" t="s">
        <v>1084</v>
      </c>
      <c r="E337" s="82"/>
      <c r="F337" s="82"/>
      <c r="G337" s="82"/>
      <c r="H337" s="82"/>
      <c r="I337" s="82"/>
      <c r="J337" s="82"/>
      <c r="K337" s="23">
        <v>0.14899999999999999</v>
      </c>
      <c r="L337" s="23">
        <f>ROUND(21.49,3)</f>
        <v>21.49</v>
      </c>
      <c r="M337" s="24">
        <f t="shared" si="15"/>
        <v>3.2</v>
      </c>
    </row>
    <row r="338" spans="1:13" ht="15.15" customHeight="1" thickBot="1" x14ac:dyDescent="0.35">
      <c r="A338" s="5" t="s">
        <v>1085</v>
      </c>
      <c r="B338" s="5" t="s">
        <v>1086</v>
      </c>
      <c r="C338" s="5" t="s">
        <v>1087</v>
      </c>
      <c r="D338" s="82" t="s">
        <v>1088</v>
      </c>
      <c r="E338" s="82"/>
      <c r="F338" s="82"/>
      <c r="G338" s="82"/>
      <c r="H338" s="82"/>
      <c r="I338" s="82"/>
      <c r="J338" s="82"/>
      <c r="K338" s="23">
        <v>7.2999999999999995E-2</v>
      </c>
      <c r="L338" s="23">
        <f>ROUND(24.02,3)</f>
        <v>24.02</v>
      </c>
      <c r="M338" s="24">
        <f t="shared" si="15"/>
        <v>1.75</v>
      </c>
    </row>
    <row r="339" spans="1:13" ht="15.15" customHeight="1" thickBot="1" x14ac:dyDescent="0.35">
      <c r="A339" s="5" t="s">
        <v>1089</v>
      </c>
      <c r="B339" s="5" t="s">
        <v>1090</v>
      </c>
      <c r="C339" s="5" t="s">
        <v>1091</v>
      </c>
      <c r="D339" s="82" t="s">
        <v>1092</v>
      </c>
      <c r="E339" s="82"/>
      <c r="F339" s="82"/>
      <c r="G339" s="82"/>
      <c r="H339" s="82"/>
      <c r="I339" s="82"/>
      <c r="J339" s="82"/>
      <c r="K339" s="23">
        <v>6.3E-2</v>
      </c>
      <c r="L339" s="23">
        <f>ROUND(21.49,3)</f>
        <v>21.49</v>
      </c>
      <c r="M339" s="24">
        <f t="shared" si="15"/>
        <v>1.35</v>
      </c>
    </row>
    <row r="340" spans="1:13" ht="15.15" customHeight="1" thickBot="1" x14ac:dyDescent="0.35">
      <c r="A340" s="5" t="s">
        <v>1093</v>
      </c>
      <c r="B340" s="5" t="s">
        <v>1094</v>
      </c>
      <c r="C340" s="5" t="s">
        <v>1095</v>
      </c>
      <c r="D340" s="82" t="s">
        <v>1096</v>
      </c>
      <c r="E340" s="82"/>
      <c r="F340" s="82"/>
      <c r="G340" s="82"/>
      <c r="H340" s="82"/>
      <c r="I340" s="82"/>
      <c r="J340" s="82"/>
      <c r="K340" s="23">
        <v>8.0000000000000002E-3</v>
      </c>
      <c r="L340" s="23">
        <f>ROUND(24.02,3)</f>
        <v>24.02</v>
      </c>
      <c r="M340" s="24">
        <f t="shared" si="15"/>
        <v>0.19</v>
      </c>
    </row>
    <row r="341" spans="1:13" ht="15.15" customHeight="1" thickBot="1" x14ac:dyDescent="0.35">
      <c r="A341" s="5" t="s">
        <v>1097</v>
      </c>
      <c r="B341" s="5" t="s">
        <v>1098</v>
      </c>
      <c r="C341" s="5" t="s">
        <v>1099</v>
      </c>
      <c r="D341" s="82" t="s">
        <v>1100</v>
      </c>
      <c r="E341" s="82"/>
      <c r="F341" s="82"/>
      <c r="G341" s="82"/>
      <c r="H341" s="82"/>
      <c r="I341" s="82"/>
      <c r="J341" s="82"/>
      <c r="K341" s="23">
        <v>3.5000000000000003E-2</v>
      </c>
      <c r="L341" s="23">
        <f>ROUND(21.49,3)</f>
        <v>21.49</v>
      </c>
      <c r="M341" s="24">
        <f t="shared" si="15"/>
        <v>0.75</v>
      </c>
    </row>
    <row r="342" spans="1:13" ht="15.15" customHeight="1" thickBot="1" x14ac:dyDescent="0.35">
      <c r="A342" s="5" t="s">
        <v>1101</v>
      </c>
      <c r="B342" s="5"/>
      <c r="C342" s="5" t="s">
        <v>1102</v>
      </c>
      <c r="D342" s="82" t="s">
        <v>1103</v>
      </c>
      <c r="E342" s="82"/>
      <c r="F342" s="82"/>
      <c r="G342" s="82"/>
      <c r="H342" s="82"/>
      <c r="I342" s="82"/>
      <c r="J342" s="82"/>
      <c r="K342" s="23">
        <v>2</v>
      </c>
      <c r="L342" s="23">
        <f>ROUND(60.88,3)</f>
        <v>60.88</v>
      </c>
      <c r="M342" s="24">
        <f>ROUND((K342*L342)/100,2)</f>
        <v>1.22</v>
      </c>
    </row>
    <row r="343" spans="1:13" ht="15.45" customHeight="1" thickBot="1" x14ac:dyDescent="0.35">
      <c r="A343" s="37"/>
      <c r="B343" s="37"/>
      <c r="C343" s="37"/>
      <c r="D343" s="38" t="s">
        <v>1104</v>
      </c>
      <c r="E343" s="37"/>
      <c r="F343" s="37"/>
      <c r="G343" s="37"/>
      <c r="H343" s="37"/>
      <c r="I343" s="37"/>
      <c r="J343" s="37"/>
      <c r="K343" s="39">
        <v>402.13</v>
      </c>
      <c r="L343" s="40">
        <f>ROUND((M325+M326+M327+M328+M329+M330+M331+M332+M333+M334+M335+M336+M337+M338+M339+M340+M341+M342)*(1+M2/100),2)</f>
        <v>63.96</v>
      </c>
      <c r="M343" s="40">
        <f>ROUND(K343*L343,2)</f>
        <v>25720.23</v>
      </c>
    </row>
    <row r="344" spans="1:13" ht="15.45" customHeight="1" thickBot="1" x14ac:dyDescent="0.35">
      <c r="A344" s="41"/>
      <c r="B344" s="41"/>
      <c r="C344" s="41"/>
      <c r="D344" s="42" t="s">
        <v>1105</v>
      </c>
      <c r="E344" s="43"/>
      <c r="F344" s="43"/>
      <c r="G344" s="43"/>
      <c r="H344" s="43"/>
      <c r="I344" s="43"/>
      <c r="J344" s="43"/>
      <c r="K344" s="43"/>
      <c r="L344" s="44">
        <f>M300+M322</f>
        <v>86426.28</v>
      </c>
      <c r="M344" s="44">
        <f t="shared" ref="M344:M349" si="16">ROUND(L344,2)</f>
        <v>86426.28</v>
      </c>
    </row>
    <row r="345" spans="1:13" ht="15.45" customHeight="1" thickBot="1" x14ac:dyDescent="0.35">
      <c r="A345" s="41"/>
      <c r="B345" s="41"/>
      <c r="C345" s="41"/>
      <c r="D345" s="45" t="s">
        <v>1106</v>
      </c>
      <c r="E345" s="46"/>
      <c r="F345" s="46"/>
      <c r="G345" s="46"/>
      <c r="H345" s="46"/>
      <c r="I345" s="46"/>
      <c r="J345" s="46"/>
      <c r="K345" s="46"/>
      <c r="L345" s="47">
        <f>M344</f>
        <v>86426.28</v>
      </c>
      <c r="M345" s="47">
        <f t="shared" si="16"/>
        <v>86426.28</v>
      </c>
    </row>
    <row r="346" spans="1:13" ht="15.45" customHeight="1" thickBot="1" x14ac:dyDescent="0.35">
      <c r="A346" s="41"/>
      <c r="B346" s="41"/>
      <c r="C346" s="41"/>
      <c r="D346" s="48" t="s">
        <v>1107</v>
      </c>
      <c r="E346" s="49"/>
      <c r="F346" s="49"/>
      <c r="G346" s="49"/>
      <c r="H346" s="49"/>
      <c r="I346" s="49"/>
      <c r="J346" s="49"/>
      <c r="K346" s="49"/>
      <c r="L346" s="50">
        <f>M297+M345</f>
        <v>282170.86</v>
      </c>
      <c r="M346" s="50">
        <f t="shared" si="16"/>
        <v>282170.86</v>
      </c>
    </row>
    <row r="347" spans="1:13" ht="15.45" customHeight="1" thickBot="1" x14ac:dyDescent="0.35">
      <c r="A347" s="51" t="s">
        <v>1108</v>
      </c>
      <c r="B347" s="51" t="s">
        <v>1109</v>
      </c>
      <c r="C347" s="52"/>
      <c r="D347" s="83" t="s">
        <v>1110</v>
      </c>
      <c r="E347" s="83"/>
      <c r="F347" s="83"/>
      <c r="G347" s="83"/>
      <c r="H347" s="83"/>
      <c r="I347" s="83"/>
      <c r="J347" s="83"/>
      <c r="K347" s="52"/>
      <c r="L347" s="53">
        <f>L409</f>
        <v>9415.02</v>
      </c>
      <c r="M347" s="53">
        <f t="shared" si="16"/>
        <v>9415.02</v>
      </c>
    </row>
    <row r="348" spans="1:13" ht="15.45" customHeight="1" thickBot="1" x14ac:dyDescent="0.35">
      <c r="A348" s="17" t="s">
        <v>1111</v>
      </c>
      <c r="B348" s="17" t="s">
        <v>1112</v>
      </c>
      <c r="C348" s="18"/>
      <c r="D348" s="80" t="s">
        <v>1113</v>
      </c>
      <c r="E348" s="80"/>
      <c r="F348" s="80"/>
      <c r="G348" s="80"/>
      <c r="H348" s="80"/>
      <c r="I348" s="80"/>
      <c r="J348" s="80"/>
      <c r="K348" s="18"/>
      <c r="L348" s="19">
        <f>L365</f>
        <v>7826.68</v>
      </c>
      <c r="M348" s="19">
        <f t="shared" si="16"/>
        <v>7826.68</v>
      </c>
    </row>
    <row r="349" spans="1:13" ht="15.45" customHeight="1" thickBot="1" x14ac:dyDescent="0.35">
      <c r="A349" s="20" t="s">
        <v>1114</v>
      </c>
      <c r="B349" s="20" t="s">
        <v>1115</v>
      </c>
      <c r="C349" s="21"/>
      <c r="D349" s="81" t="s">
        <v>1116</v>
      </c>
      <c r="E349" s="81"/>
      <c r="F349" s="81"/>
      <c r="G349" s="81"/>
      <c r="H349" s="81"/>
      <c r="I349" s="81"/>
      <c r="J349" s="81"/>
      <c r="K349" s="21"/>
      <c r="L349" s="22">
        <f>L364</f>
        <v>7826.68</v>
      </c>
      <c r="M349" s="22">
        <f t="shared" si="16"/>
        <v>7826.68</v>
      </c>
    </row>
    <row r="350" spans="1:13" ht="39.75" customHeight="1" thickBot="1" x14ac:dyDescent="0.35">
      <c r="A350" s="10" t="s">
        <v>1117</v>
      </c>
      <c r="B350" s="5" t="s">
        <v>1118</v>
      </c>
      <c r="C350" s="5" t="s">
        <v>1119</v>
      </c>
      <c r="D350" s="82" t="s">
        <v>1120</v>
      </c>
      <c r="E350" s="82"/>
      <c r="F350" s="82"/>
      <c r="G350" s="82"/>
      <c r="H350" s="82"/>
      <c r="I350" s="82"/>
      <c r="J350" s="82"/>
      <c r="K350" s="23">
        <f>SUM(K352:K352)</f>
        <v>311.2</v>
      </c>
      <c r="L350" s="24">
        <f>L363</f>
        <v>25.15</v>
      </c>
      <c r="M350" s="24">
        <f>ROUND(K350*L350,2)</f>
        <v>7826.68</v>
      </c>
    </row>
    <row r="351" spans="1:13" ht="15.15" customHeight="1" thickBot="1" x14ac:dyDescent="0.35">
      <c r="A351" s="25"/>
      <c r="B351" s="25"/>
      <c r="C351" s="25"/>
      <c r="D351" s="25"/>
      <c r="E351" s="26"/>
      <c r="F351" s="28" t="s">
        <v>1121</v>
      </c>
      <c r="G351" s="28" t="s">
        <v>1122</v>
      </c>
      <c r="H351" s="28" t="s">
        <v>1123</v>
      </c>
      <c r="I351" s="28" t="s">
        <v>1124</v>
      </c>
      <c r="J351" s="28" t="s">
        <v>1125</v>
      </c>
      <c r="K351" s="28" t="s">
        <v>1126</v>
      </c>
      <c r="L351" s="25"/>
      <c r="M351" s="25"/>
    </row>
    <row r="352" spans="1:13" ht="15.15" customHeight="1" thickBot="1" x14ac:dyDescent="0.35">
      <c r="A352" s="25"/>
      <c r="B352" s="25"/>
      <c r="C352" s="25"/>
      <c r="D352" s="29"/>
      <c r="E352" s="30" t="s">
        <v>1127</v>
      </c>
      <c r="F352" s="31"/>
      <c r="G352" s="32">
        <v>40</v>
      </c>
      <c r="H352" s="32"/>
      <c r="I352" s="32">
        <v>7.78</v>
      </c>
      <c r="J352" s="34">
        <f>ROUND(G352*I352,3)</f>
        <v>311.2</v>
      </c>
      <c r="K352" s="36">
        <f>SUM(J352:J352)</f>
        <v>311.2</v>
      </c>
      <c r="L352" s="25"/>
      <c r="M352" s="25"/>
    </row>
    <row r="353" spans="1:13" ht="30.6" customHeight="1" thickBot="1" x14ac:dyDescent="0.35">
      <c r="A353" s="5" t="s">
        <v>1128</v>
      </c>
      <c r="B353" s="5" t="s">
        <v>1129</v>
      </c>
      <c r="C353" s="5" t="s">
        <v>1130</v>
      </c>
      <c r="D353" s="82" t="s">
        <v>1131</v>
      </c>
      <c r="E353" s="82"/>
      <c r="F353" s="82"/>
      <c r="G353" s="82"/>
      <c r="H353" s="82"/>
      <c r="I353" s="82"/>
      <c r="J353" s="82"/>
      <c r="K353" s="23">
        <v>13</v>
      </c>
      <c r="L353" s="23">
        <f>ROUND(0.561,3)</f>
        <v>0.56100000000000005</v>
      </c>
      <c r="M353" s="24">
        <f t="shared" ref="M353:M361" si="17">ROUND(K353*L353,2)</f>
        <v>7.29</v>
      </c>
    </row>
    <row r="354" spans="1:13" ht="15.15" customHeight="1" thickBot="1" x14ac:dyDescent="0.35">
      <c r="A354" s="5" t="s">
        <v>1132</v>
      </c>
      <c r="B354" s="5" t="s">
        <v>1133</v>
      </c>
      <c r="C354" s="5" t="s">
        <v>1134</v>
      </c>
      <c r="D354" s="82" t="s">
        <v>1135</v>
      </c>
      <c r="E354" s="82"/>
      <c r="F354" s="82"/>
      <c r="G354" s="82"/>
      <c r="H354" s="82"/>
      <c r="I354" s="82"/>
      <c r="J354" s="82"/>
      <c r="K354" s="23">
        <v>5.0000000000000001E-3</v>
      </c>
      <c r="L354" s="23">
        <f>ROUND(0.99,3)</f>
        <v>0.99</v>
      </c>
      <c r="M354" s="24">
        <f t="shared" si="17"/>
        <v>0</v>
      </c>
    </row>
    <row r="355" spans="1:13" ht="21.3" customHeight="1" thickBot="1" x14ac:dyDescent="0.35">
      <c r="A355" s="5" t="s">
        <v>1136</v>
      </c>
      <c r="B355" s="5" t="s">
        <v>1137</v>
      </c>
      <c r="C355" s="5" t="s">
        <v>1138</v>
      </c>
      <c r="D355" s="82" t="s">
        <v>1139</v>
      </c>
      <c r="E355" s="82"/>
      <c r="F355" s="82"/>
      <c r="G355" s="82"/>
      <c r="H355" s="82"/>
      <c r="I355" s="82"/>
      <c r="J355" s="82"/>
      <c r="K355" s="23">
        <v>2.8000000000000001E-2</v>
      </c>
      <c r="L355" s="23">
        <f>ROUND(26.867,3)</f>
        <v>26.867000000000001</v>
      </c>
      <c r="M355" s="24">
        <f t="shared" si="17"/>
        <v>0.75</v>
      </c>
    </row>
    <row r="356" spans="1:13" ht="15.15" customHeight="1" thickBot="1" x14ac:dyDescent="0.35">
      <c r="A356" s="5" t="s">
        <v>1140</v>
      </c>
      <c r="B356" s="5" t="s">
        <v>1141</v>
      </c>
      <c r="C356" s="5" t="s">
        <v>1142</v>
      </c>
      <c r="D356" s="82" t="s">
        <v>1143</v>
      </c>
      <c r="E356" s="82"/>
      <c r="F356" s="82"/>
      <c r="G356" s="82"/>
      <c r="H356" s="82"/>
      <c r="I356" s="82"/>
      <c r="J356" s="82"/>
      <c r="K356" s="23">
        <v>2</v>
      </c>
      <c r="L356" s="23">
        <f>ROUND(0.249,3)</f>
        <v>0.249</v>
      </c>
      <c r="M356" s="24">
        <f t="shared" si="17"/>
        <v>0.5</v>
      </c>
    </row>
    <row r="357" spans="1:13" ht="21.3" customHeight="1" thickBot="1" x14ac:dyDescent="0.35">
      <c r="A357" s="5" t="s">
        <v>1144</v>
      </c>
      <c r="B357" s="5" t="s">
        <v>1145</v>
      </c>
      <c r="C357" s="5" t="s">
        <v>1146</v>
      </c>
      <c r="D357" s="82" t="s">
        <v>1147</v>
      </c>
      <c r="E357" s="82"/>
      <c r="F357" s="82"/>
      <c r="G357" s="82"/>
      <c r="H357" s="82"/>
      <c r="I357" s="82"/>
      <c r="J357" s="82"/>
      <c r="K357" s="23">
        <v>0.72899999999999998</v>
      </c>
      <c r="L357" s="23">
        <f>ROUND(0.291,3)</f>
        <v>0.29099999999999998</v>
      </c>
      <c r="M357" s="24">
        <f t="shared" si="17"/>
        <v>0.21</v>
      </c>
    </row>
    <row r="358" spans="1:13" ht="15.15" customHeight="1" thickBot="1" x14ac:dyDescent="0.35">
      <c r="A358" s="5" t="s">
        <v>1148</v>
      </c>
      <c r="B358" s="5" t="s">
        <v>1149</v>
      </c>
      <c r="C358" s="5" t="s">
        <v>1150</v>
      </c>
      <c r="D358" s="82" t="s">
        <v>1151</v>
      </c>
      <c r="E358" s="82"/>
      <c r="F358" s="82"/>
      <c r="G358" s="82"/>
      <c r="H358" s="82"/>
      <c r="I358" s="82"/>
      <c r="J358" s="82"/>
      <c r="K358" s="23">
        <v>3.4000000000000002E-2</v>
      </c>
      <c r="L358" s="23">
        <f>ROUND(0.878,3)</f>
        <v>0.878</v>
      </c>
      <c r="M358" s="24">
        <f t="shared" si="17"/>
        <v>0.03</v>
      </c>
    </row>
    <row r="359" spans="1:13" ht="15.15" customHeight="1" thickBot="1" x14ac:dyDescent="0.35">
      <c r="A359" s="5" t="s">
        <v>1152</v>
      </c>
      <c r="B359" s="5" t="s">
        <v>1153</v>
      </c>
      <c r="C359" s="5" t="s">
        <v>1154</v>
      </c>
      <c r="D359" s="82" t="s">
        <v>1155</v>
      </c>
      <c r="E359" s="82"/>
      <c r="F359" s="82"/>
      <c r="G359" s="82"/>
      <c r="H359" s="82"/>
      <c r="I359" s="82"/>
      <c r="J359" s="82"/>
      <c r="K359" s="23">
        <v>0.109</v>
      </c>
      <c r="L359" s="23">
        <f>ROUND(1.011,3)</f>
        <v>1.0109999999999999</v>
      </c>
      <c r="M359" s="24">
        <f t="shared" si="17"/>
        <v>0.11</v>
      </c>
    </row>
    <row r="360" spans="1:13" ht="15.15" customHeight="1" thickBot="1" x14ac:dyDescent="0.35">
      <c r="A360" s="5" t="s">
        <v>1156</v>
      </c>
      <c r="B360" s="5" t="s">
        <v>1157</v>
      </c>
      <c r="C360" s="5" t="s">
        <v>1158</v>
      </c>
      <c r="D360" s="82" t="s">
        <v>1159</v>
      </c>
      <c r="E360" s="82"/>
      <c r="F360" s="82"/>
      <c r="G360" s="82"/>
      <c r="H360" s="82"/>
      <c r="I360" s="82"/>
      <c r="J360" s="82"/>
      <c r="K360" s="23">
        <v>0.42499999999999999</v>
      </c>
      <c r="L360" s="23">
        <f>ROUND(24.05,3)</f>
        <v>24.05</v>
      </c>
      <c r="M360" s="24">
        <f t="shared" si="17"/>
        <v>10.220000000000001</v>
      </c>
    </row>
    <row r="361" spans="1:13" ht="15.15" customHeight="1" thickBot="1" x14ac:dyDescent="0.35">
      <c r="A361" s="5" t="s">
        <v>1160</v>
      </c>
      <c r="B361" s="5" t="s">
        <v>1161</v>
      </c>
      <c r="C361" s="5" t="s">
        <v>1162</v>
      </c>
      <c r="D361" s="82" t="s">
        <v>1163</v>
      </c>
      <c r="E361" s="82"/>
      <c r="F361" s="82"/>
      <c r="G361" s="82"/>
      <c r="H361" s="82"/>
      <c r="I361" s="82"/>
      <c r="J361" s="82"/>
      <c r="K361" s="23">
        <v>0.22900000000000001</v>
      </c>
      <c r="L361" s="23">
        <f>ROUND(20.09,3)</f>
        <v>20.09</v>
      </c>
      <c r="M361" s="24">
        <f t="shared" si="17"/>
        <v>4.5999999999999996</v>
      </c>
    </row>
    <row r="362" spans="1:13" ht="15.15" customHeight="1" thickBot="1" x14ac:dyDescent="0.35">
      <c r="A362" s="5" t="s">
        <v>1164</v>
      </c>
      <c r="B362" s="5"/>
      <c r="C362" s="5" t="s">
        <v>1165</v>
      </c>
      <c r="D362" s="82" t="s">
        <v>1166</v>
      </c>
      <c r="E362" s="82"/>
      <c r="F362" s="82"/>
      <c r="G362" s="82"/>
      <c r="H362" s="82"/>
      <c r="I362" s="82"/>
      <c r="J362" s="82"/>
      <c r="K362" s="23">
        <v>3</v>
      </c>
      <c r="L362" s="23">
        <f>ROUND(23.71,3)</f>
        <v>23.71</v>
      </c>
      <c r="M362" s="24">
        <f>ROUND((K362*L362)/100,2)</f>
        <v>0.71</v>
      </c>
    </row>
    <row r="363" spans="1:13" ht="15.45" customHeight="1" thickBot="1" x14ac:dyDescent="0.35">
      <c r="A363" s="37"/>
      <c r="B363" s="37"/>
      <c r="C363" s="37"/>
      <c r="D363" s="38" t="s">
        <v>1167</v>
      </c>
      <c r="E363" s="37"/>
      <c r="F363" s="37"/>
      <c r="G363" s="37"/>
      <c r="H363" s="37"/>
      <c r="I363" s="37"/>
      <c r="J363" s="37"/>
      <c r="K363" s="39">
        <v>311.2</v>
      </c>
      <c r="L363" s="40">
        <f>ROUND((M353+M354+M355+M356+M357+M358+M359+M360+M361+M362)*(1+M2/100),2)</f>
        <v>25.15</v>
      </c>
      <c r="M363" s="40">
        <f>ROUND(K363*L363,2)</f>
        <v>7826.68</v>
      </c>
    </row>
    <row r="364" spans="1:13" ht="15.45" customHeight="1" thickBot="1" x14ac:dyDescent="0.35">
      <c r="A364" s="41"/>
      <c r="B364" s="41"/>
      <c r="C364" s="41"/>
      <c r="D364" s="42" t="s">
        <v>1168</v>
      </c>
      <c r="E364" s="43"/>
      <c r="F364" s="43"/>
      <c r="G364" s="43"/>
      <c r="H364" s="43"/>
      <c r="I364" s="43"/>
      <c r="J364" s="43"/>
      <c r="K364" s="43"/>
      <c r="L364" s="44">
        <f>M350</f>
        <v>7826.68</v>
      </c>
      <c r="M364" s="44">
        <f>ROUND(L364,2)</f>
        <v>7826.68</v>
      </c>
    </row>
    <row r="365" spans="1:13" ht="15.45" customHeight="1" thickBot="1" x14ac:dyDescent="0.35">
      <c r="A365" s="41"/>
      <c r="B365" s="41"/>
      <c r="C365" s="41"/>
      <c r="D365" s="45" t="s">
        <v>1169</v>
      </c>
      <c r="E365" s="46"/>
      <c r="F365" s="46"/>
      <c r="G365" s="46"/>
      <c r="H365" s="46"/>
      <c r="I365" s="46"/>
      <c r="J365" s="46"/>
      <c r="K365" s="46"/>
      <c r="L365" s="47">
        <f>M364</f>
        <v>7826.68</v>
      </c>
      <c r="M365" s="47">
        <f>ROUND(L365,2)</f>
        <v>7826.68</v>
      </c>
    </row>
    <row r="366" spans="1:13" ht="15.45" customHeight="1" thickBot="1" x14ac:dyDescent="0.35">
      <c r="A366" s="62" t="s">
        <v>1170</v>
      </c>
      <c r="B366" s="62" t="s">
        <v>1171</v>
      </c>
      <c r="C366" s="63"/>
      <c r="D366" s="86" t="s">
        <v>1172</v>
      </c>
      <c r="E366" s="86"/>
      <c r="F366" s="86"/>
      <c r="G366" s="86"/>
      <c r="H366" s="86"/>
      <c r="I366" s="86"/>
      <c r="J366" s="86"/>
      <c r="K366" s="63"/>
      <c r="L366" s="64">
        <f>L393</f>
        <v>325.82</v>
      </c>
      <c r="M366" s="64">
        <f>ROUND(L366,2)</f>
        <v>325.82</v>
      </c>
    </row>
    <row r="367" spans="1:13" ht="15.45" customHeight="1" thickBot="1" x14ac:dyDescent="0.35">
      <c r="A367" s="20" t="s">
        <v>1173</v>
      </c>
      <c r="B367" s="20" t="s">
        <v>1174</v>
      </c>
      <c r="C367" s="21"/>
      <c r="D367" s="81" t="s">
        <v>1175</v>
      </c>
      <c r="E367" s="81"/>
      <c r="F367" s="81"/>
      <c r="G367" s="81"/>
      <c r="H367" s="81"/>
      <c r="I367" s="81"/>
      <c r="J367" s="81"/>
      <c r="K367" s="21"/>
      <c r="L367" s="22">
        <f>L392</f>
        <v>325.82</v>
      </c>
      <c r="M367" s="22">
        <f>ROUND(L367,2)</f>
        <v>325.82</v>
      </c>
    </row>
    <row r="368" spans="1:13" ht="49.05" customHeight="1" thickBot="1" x14ac:dyDescent="0.35">
      <c r="A368" s="10" t="s">
        <v>1176</v>
      </c>
      <c r="B368" s="5" t="s">
        <v>1177</v>
      </c>
      <c r="C368" s="5" t="s">
        <v>1178</v>
      </c>
      <c r="D368" s="82" t="s">
        <v>1179</v>
      </c>
      <c r="E368" s="82"/>
      <c r="F368" s="82"/>
      <c r="G368" s="82"/>
      <c r="H368" s="82"/>
      <c r="I368" s="82"/>
      <c r="J368" s="82"/>
      <c r="K368" s="23">
        <f>SUM(K370:K372)</f>
        <v>22</v>
      </c>
      <c r="L368" s="24">
        <f>L391</f>
        <v>14.81</v>
      </c>
      <c r="M368" s="24">
        <f>ROUND(K368*L368,2)</f>
        <v>325.82</v>
      </c>
    </row>
    <row r="369" spans="1:13" ht="15.15" customHeight="1" thickBot="1" x14ac:dyDescent="0.35">
      <c r="A369" s="25"/>
      <c r="B369" s="25"/>
      <c r="C369" s="25"/>
      <c r="D369" s="25"/>
      <c r="E369" s="26"/>
      <c r="F369" s="28" t="s">
        <v>1180</v>
      </c>
      <c r="G369" s="28" t="s">
        <v>1181</v>
      </c>
      <c r="H369" s="28" t="s">
        <v>1182</v>
      </c>
      <c r="I369" s="28" t="s">
        <v>1183</v>
      </c>
      <c r="J369" s="28" t="s">
        <v>1184</v>
      </c>
      <c r="K369" s="28" t="s">
        <v>1185</v>
      </c>
      <c r="L369" s="25"/>
      <c r="M369" s="25"/>
    </row>
    <row r="370" spans="1:13" ht="15.15" customHeight="1" thickBot="1" x14ac:dyDescent="0.35">
      <c r="A370" s="25"/>
      <c r="B370" s="25"/>
      <c r="C370" s="25"/>
      <c r="D370" s="29"/>
      <c r="E370" s="30" t="s">
        <v>1186</v>
      </c>
      <c r="F370" s="31">
        <v>6</v>
      </c>
      <c r="G370" s="32">
        <v>2.5</v>
      </c>
      <c r="H370" s="32"/>
      <c r="I370" s="32"/>
      <c r="J370" s="34">
        <f>ROUND(F370*G370,3)</f>
        <v>15</v>
      </c>
      <c r="K370" s="57"/>
      <c r="L370" s="25"/>
      <c r="M370" s="25"/>
    </row>
    <row r="371" spans="1:13" ht="15.15" customHeight="1" thickBot="1" x14ac:dyDescent="0.35">
      <c r="A371" s="25"/>
      <c r="B371" s="25"/>
      <c r="C371" s="25"/>
      <c r="D371" s="29"/>
      <c r="E371" s="5" t="s">
        <v>1187</v>
      </c>
      <c r="F371" s="3">
        <v>1</v>
      </c>
      <c r="G371" s="23">
        <v>1</v>
      </c>
      <c r="H371" s="23"/>
      <c r="I371" s="23"/>
      <c r="J371" s="33">
        <f>ROUND(F371*G371,3)</f>
        <v>1</v>
      </c>
      <c r="K371" s="25"/>
      <c r="L371" s="25"/>
      <c r="M371" s="25"/>
    </row>
    <row r="372" spans="1:13" ht="15.15" customHeight="1" thickBot="1" x14ac:dyDescent="0.35">
      <c r="A372" s="25"/>
      <c r="B372" s="25"/>
      <c r="C372" s="25"/>
      <c r="D372" s="29"/>
      <c r="E372" s="5" t="s">
        <v>1188</v>
      </c>
      <c r="F372" s="3">
        <v>1</v>
      </c>
      <c r="G372" s="23">
        <v>6</v>
      </c>
      <c r="H372" s="23"/>
      <c r="I372" s="23"/>
      <c r="J372" s="33">
        <f>ROUND(F372*G372,3)</f>
        <v>6</v>
      </c>
      <c r="K372" s="35">
        <f>SUM(J370:J372)</f>
        <v>22</v>
      </c>
      <c r="L372" s="25"/>
      <c r="M372" s="25"/>
    </row>
    <row r="373" spans="1:13" ht="21.3" customHeight="1" thickBot="1" x14ac:dyDescent="0.35">
      <c r="A373" s="5" t="s">
        <v>1189</v>
      </c>
      <c r="B373" s="5" t="s">
        <v>1190</v>
      </c>
      <c r="C373" s="5" t="s">
        <v>1191</v>
      </c>
      <c r="D373" s="82" t="s">
        <v>1192</v>
      </c>
      <c r="E373" s="82"/>
      <c r="F373" s="82"/>
      <c r="G373" s="82"/>
      <c r="H373" s="82"/>
      <c r="I373" s="82"/>
      <c r="J373" s="82"/>
      <c r="K373" s="23">
        <v>2.625</v>
      </c>
      <c r="L373" s="23">
        <f>ROUND(1.172,3)</f>
        <v>1.1719999999999999</v>
      </c>
      <c r="M373" s="24">
        <f t="shared" ref="M373:M389" si="18">ROUND(K373*L373,2)</f>
        <v>3.08</v>
      </c>
    </row>
    <row r="374" spans="1:13" ht="21.3" customHeight="1" thickBot="1" x14ac:dyDescent="0.35">
      <c r="A374" s="5" t="s">
        <v>1193</v>
      </c>
      <c r="B374" s="5" t="s">
        <v>1194</v>
      </c>
      <c r="C374" s="5" t="s">
        <v>1195</v>
      </c>
      <c r="D374" s="82" t="s">
        <v>1196</v>
      </c>
      <c r="E374" s="82"/>
      <c r="F374" s="82"/>
      <c r="G374" s="82"/>
      <c r="H374" s="82"/>
      <c r="I374" s="82"/>
      <c r="J374" s="82"/>
      <c r="K374" s="23">
        <v>1E-3</v>
      </c>
      <c r="L374" s="23">
        <f>ROUND(28.536,3)</f>
        <v>28.536000000000001</v>
      </c>
      <c r="M374" s="24">
        <f t="shared" si="18"/>
        <v>0.03</v>
      </c>
    </row>
    <row r="375" spans="1:13" ht="15.15" customHeight="1" thickBot="1" x14ac:dyDescent="0.35">
      <c r="A375" s="5" t="s">
        <v>1197</v>
      </c>
      <c r="B375" s="5" t="s">
        <v>1198</v>
      </c>
      <c r="C375" s="5" t="s">
        <v>1199</v>
      </c>
      <c r="D375" s="82" t="s">
        <v>1200</v>
      </c>
      <c r="E375" s="82"/>
      <c r="F375" s="82"/>
      <c r="G375" s="82"/>
      <c r="H375" s="82"/>
      <c r="I375" s="82"/>
      <c r="J375" s="82"/>
      <c r="K375" s="23">
        <v>8.9999999999999993E-3</v>
      </c>
      <c r="L375" s="23">
        <f>ROUND(0.99,3)</f>
        <v>0.99</v>
      </c>
      <c r="M375" s="24">
        <f t="shared" si="18"/>
        <v>0.01</v>
      </c>
    </row>
    <row r="376" spans="1:13" ht="15.15" customHeight="1" thickBot="1" x14ac:dyDescent="0.35">
      <c r="A376" s="5" t="s">
        <v>1201</v>
      </c>
      <c r="B376" s="5" t="s">
        <v>1202</v>
      </c>
      <c r="C376" s="5" t="s">
        <v>1203</v>
      </c>
      <c r="D376" s="82" t="s">
        <v>1204</v>
      </c>
      <c r="E376" s="82"/>
      <c r="F376" s="82"/>
      <c r="G376" s="82"/>
      <c r="H376" s="82"/>
      <c r="I376" s="82"/>
      <c r="J376" s="82"/>
      <c r="K376" s="23">
        <v>4.3</v>
      </c>
      <c r="L376" s="23">
        <f>ROUND(0.845,3)</f>
        <v>0.84499999999999997</v>
      </c>
      <c r="M376" s="24">
        <f t="shared" si="18"/>
        <v>3.63</v>
      </c>
    </row>
    <row r="377" spans="1:13" ht="15.15" customHeight="1" thickBot="1" x14ac:dyDescent="0.35">
      <c r="A377" s="5" t="s">
        <v>1205</v>
      </c>
      <c r="B377" s="5" t="s">
        <v>1206</v>
      </c>
      <c r="C377" s="5" t="s">
        <v>1207</v>
      </c>
      <c r="D377" s="82" t="s">
        <v>1208</v>
      </c>
      <c r="E377" s="82"/>
      <c r="F377" s="82"/>
      <c r="G377" s="82"/>
      <c r="H377" s="82"/>
      <c r="I377" s="82"/>
      <c r="J377" s="82"/>
      <c r="K377" s="23">
        <v>9.9000000000000005E-2</v>
      </c>
      <c r="L377" s="23">
        <f>ROUND(0.792,3)</f>
        <v>0.79200000000000004</v>
      </c>
      <c r="M377" s="24">
        <f t="shared" si="18"/>
        <v>0.08</v>
      </c>
    </row>
    <row r="378" spans="1:13" ht="15.15" customHeight="1" thickBot="1" x14ac:dyDescent="0.35">
      <c r="A378" s="5" t="s">
        <v>1209</v>
      </c>
      <c r="B378" s="5" t="s">
        <v>1210</v>
      </c>
      <c r="C378" s="5" t="s">
        <v>1211</v>
      </c>
      <c r="D378" s="82" t="s">
        <v>1212</v>
      </c>
      <c r="E378" s="82"/>
      <c r="F378" s="82"/>
      <c r="G378" s="82"/>
      <c r="H378" s="82"/>
      <c r="I378" s="82"/>
      <c r="J378" s="82"/>
      <c r="K378" s="23">
        <v>11.678000000000001</v>
      </c>
      <c r="L378" s="23">
        <f>ROUND(0.062,3)</f>
        <v>6.2E-2</v>
      </c>
      <c r="M378" s="24">
        <f t="shared" si="18"/>
        <v>0.72</v>
      </c>
    </row>
    <row r="379" spans="1:13" ht="15.15" customHeight="1" thickBot="1" x14ac:dyDescent="0.35">
      <c r="A379" s="5" t="s">
        <v>1213</v>
      </c>
      <c r="B379" s="5" t="s">
        <v>1214</v>
      </c>
      <c r="C379" s="5" t="s">
        <v>1215</v>
      </c>
      <c r="D379" s="82" t="s">
        <v>1216</v>
      </c>
      <c r="E379" s="82"/>
      <c r="F379" s="82"/>
      <c r="G379" s="82"/>
      <c r="H379" s="82"/>
      <c r="I379" s="82"/>
      <c r="J379" s="82"/>
      <c r="K379" s="23">
        <v>1.6E-2</v>
      </c>
      <c r="L379" s="23">
        <f>ROUND(9.247,3)</f>
        <v>9.2469999999999999</v>
      </c>
      <c r="M379" s="24">
        <f t="shared" si="18"/>
        <v>0.15</v>
      </c>
    </row>
    <row r="380" spans="1:13" ht="15.15" customHeight="1" thickBot="1" x14ac:dyDescent="0.35">
      <c r="A380" s="5" t="s">
        <v>1217</v>
      </c>
      <c r="B380" s="5" t="s">
        <v>1218</v>
      </c>
      <c r="C380" s="5" t="s">
        <v>1219</v>
      </c>
      <c r="D380" s="82" t="s">
        <v>1220</v>
      </c>
      <c r="E380" s="82"/>
      <c r="F380" s="82"/>
      <c r="G380" s="82"/>
      <c r="H380" s="82"/>
      <c r="I380" s="82"/>
      <c r="J380" s="82"/>
      <c r="K380" s="23">
        <v>3.2000000000000001E-2</v>
      </c>
      <c r="L380" s="23">
        <f>ROUND(8.791,3)</f>
        <v>8.7910000000000004</v>
      </c>
      <c r="M380" s="24">
        <f t="shared" si="18"/>
        <v>0.28000000000000003</v>
      </c>
    </row>
    <row r="381" spans="1:13" ht="15.15" customHeight="1" thickBot="1" x14ac:dyDescent="0.35">
      <c r="A381" s="5" t="s">
        <v>1221</v>
      </c>
      <c r="B381" s="5" t="s">
        <v>1222</v>
      </c>
      <c r="C381" s="5" t="s">
        <v>1223</v>
      </c>
      <c r="D381" s="82" t="s">
        <v>1224</v>
      </c>
      <c r="E381" s="82"/>
      <c r="F381" s="82"/>
      <c r="G381" s="82"/>
      <c r="H381" s="82"/>
      <c r="I381" s="82"/>
      <c r="J381" s="82"/>
      <c r="K381" s="23">
        <v>3.0000000000000001E-3</v>
      </c>
      <c r="L381" s="23">
        <f>ROUND(232.528,3)</f>
        <v>232.52799999999999</v>
      </c>
      <c r="M381" s="24">
        <f t="shared" si="18"/>
        <v>0.7</v>
      </c>
    </row>
    <row r="382" spans="1:13" ht="15.15" customHeight="1" thickBot="1" x14ac:dyDescent="0.35">
      <c r="A382" s="5" t="s">
        <v>1225</v>
      </c>
      <c r="B382" s="5" t="s">
        <v>1226</v>
      </c>
      <c r="C382" s="5" t="s">
        <v>1227</v>
      </c>
      <c r="D382" s="82" t="s">
        <v>1228</v>
      </c>
      <c r="E382" s="82"/>
      <c r="F382" s="82"/>
      <c r="G382" s="82"/>
      <c r="H382" s="82"/>
      <c r="I382" s="82"/>
      <c r="J382" s="82"/>
      <c r="K382" s="23">
        <v>0.05</v>
      </c>
      <c r="L382" s="23">
        <f>ROUND(0.991,3)</f>
        <v>0.99099999999999999</v>
      </c>
      <c r="M382" s="24">
        <f t="shared" si="18"/>
        <v>0.05</v>
      </c>
    </row>
    <row r="383" spans="1:13" ht="15.15" customHeight="1" thickBot="1" x14ac:dyDescent="0.35">
      <c r="A383" s="5" t="s">
        <v>1229</v>
      </c>
      <c r="B383" s="5" t="s">
        <v>1230</v>
      </c>
      <c r="C383" s="5" t="s">
        <v>1231</v>
      </c>
      <c r="D383" s="82" t="s">
        <v>1232</v>
      </c>
      <c r="E383" s="82"/>
      <c r="F383" s="82"/>
      <c r="G383" s="82"/>
      <c r="H383" s="82"/>
      <c r="I383" s="82"/>
      <c r="J383" s="82"/>
      <c r="K383" s="23">
        <v>1.2999999999999999E-2</v>
      </c>
      <c r="L383" s="23">
        <f>ROUND(10.191,3)</f>
        <v>10.191000000000001</v>
      </c>
      <c r="M383" s="24">
        <f t="shared" si="18"/>
        <v>0.13</v>
      </c>
    </row>
    <row r="384" spans="1:13" ht="15.15" customHeight="1" thickBot="1" x14ac:dyDescent="0.35">
      <c r="A384" s="5" t="s">
        <v>1233</v>
      </c>
      <c r="B384" s="5" t="s">
        <v>1234</v>
      </c>
      <c r="C384" s="5" t="s">
        <v>1235</v>
      </c>
      <c r="D384" s="82" t="s">
        <v>1236</v>
      </c>
      <c r="E384" s="82"/>
      <c r="F384" s="82"/>
      <c r="G384" s="82"/>
      <c r="H384" s="82"/>
      <c r="I384" s="82"/>
      <c r="J384" s="82"/>
      <c r="K384" s="23">
        <v>1.7000000000000001E-2</v>
      </c>
      <c r="L384" s="23">
        <f>ROUND(1.8,3)</f>
        <v>1.8</v>
      </c>
      <c r="M384" s="24">
        <f t="shared" si="18"/>
        <v>0.03</v>
      </c>
    </row>
    <row r="385" spans="1:13" ht="15.15" customHeight="1" thickBot="1" x14ac:dyDescent="0.35">
      <c r="A385" s="5" t="s">
        <v>1237</v>
      </c>
      <c r="B385" s="5" t="s">
        <v>1238</v>
      </c>
      <c r="C385" s="5" t="s">
        <v>1239</v>
      </c>
      <c r="D385" s="82" t="s">
        <v>1240</v>
      </c>
      <c r="E385" s="82"/>
      <c r="F385" s="82"/>
      <c r="G385" s="82"/>
      <c r="H385" s="82"/>
      <c r="I385" s="82"/>
      <c r="J385" s="82"/>
      <c r="K385" s="23">
        <v>2.1999999999999999E-2</v>
      </c>
      <c r="L385" s="23">
        <f>ROUND(1.011,3)</f>
        <v>1.0109999999999999</v>
      </c>
      <c r="M385" s="24">
        <f t="shared" si="18"/>
        <v>0.02</v>
      </c>
    </row>
    <row r="386" spans="1:13" ht="15.15" customHeight="1" thickBot="1" x14ac:dyDescent="0.35">
      <c r="A386" s="5" t="s">
        <v>1241</v>
      </c>
      <c r="B386" s="5" t="s">
        <v>1242</v>
      </c>
      <c r="C386" s="5" t="s">
        <v>1243</v>
      </c>
      <c r="D386" s="82" t="s">
        <v>1244</v>
      </c>
      <c r="E386" s="82"/>
      <c r="F386" s="82"/>
      <c r="G386" s="82"/>
      <c r="H386" s="82"/>
      <c r="I386" s="82"/>
      <c r="J386" s="82"/>
      <c r="K386" s="23">
        <v>7.1999999999999995E-2</v>
      </c>
      <c r="L386" s="23">
        <f>ROUND(24.05,3)</f>
        <v>24.05</v>
      </c>
      <c r="M386" s="24">
        <f t="shared" si="18"/>
        <v>1.73</v>
      </c>
    </row>
    <row r="387" spans="1:13" ht="15.15" customHeight="1" thickBot="1" x14ac:dyDescent="0.35">
      <c r="A387" s="5" t="s">
        <v>1245</v>
      </c>
      <c r="B387" s="5" t="s">
        <v>1246</v>
      </c>
      <c r="C387" s="5" t="s">
        <v>1247</v>
      </c>
      <c r="D387" s="82" t="s">
        <v>1248</v>
      </c>
      <c r="E387" s="82"/>
      <c r="F387" s="82"/>
      <c r="G387" s="82"/>
      <c r="H387" s="82"/>
      <c r="I387" s="82"/>
      <c r="J387" s="82"/>
      <c r="K387" s="23">
        <v>7.1999999999999995E-2</v>
      </c>
      <c r="L387" s="23">
        <f>ROUND(20.09,3)</f>
        <v>20.09</v>
      </c>
      <c r="M387" s="24">
        <f t="shared" si="18"/>
        <v>1.45</v>
      </c>
    </row>
    <row r="388" spans="1:13" ht="15.15" customHeight="1" thickBot="1" x14ac:dyDescent="0.35">
      <c r="A388" s="5" t="s">
        <v>1249</v>
      </c>
      <c r="B388" s="5" t="s">
        <v>1250</v>
      </c>
      <c r="C388" s="5" t="s">
        <v>1251</v>
      </c>
      <c r="D388" s="82" t="s">
        <v>1252</v>
      </c>
      <c r="E388" s="82"/>
      <c r="F388" s="82"/>
      <c r="G388" s="82"/>
      <c r="H388" s="82"/>
      <c r="I388" s="82"/>
      <c r="J388" s="82"/>
      <c r="K388" s="23">
        <v>4.3999999999999997E-2</v>
      </c>
      <c r="L388" s="23">
        <f>ROUND(24.02,3)</f>
        <v>24.02</v>
      </c>
      <c r="M388" s="24">
        <f t="shared" si="18"/>
        <v>1.06</v>
      </c>
    </row>
    <row r="389" spans="1:13" ht="15.15" customHeight="1" thickBot="1" x14ac:dyDescent="0.35">
      <c r="A389" s="5" t="s">
        <v>1253</v>
      </c>
      <c r="B389" s="5" t="s">
        <v>1254</v>
      </c>
      <c r="C389" s="5" t="s">
        <v>1255</v>
      </c>
      <c r="D389" s="82" t="s">
        <v>1256</v>
      </c>
      <c r="E389" s="82"/>
      <c r="F389" s="82"/>
      <c r="G389" s="82"/>
      <c r="H389" s="82"/>
      <c r="I389" s="82"/>
      <c r="J389" s="82"/>
      <c r="K389" s="23">
        <v>4.3999999999999997E-2</v>
      </c>
      <c r="L389" s="23">
        <f>ROUND(21.49,3)</f>
        <v>21.49</v>
      </c>
      <c r="M389" s="24">
        <f t="shared" si="18"/>
        <v>0.95</v>
      </c>
    </row>
    <row r="390" spans="1:13" ht="15.15" customHeight="1" thickBot="1" x14ac:dyDescent="0.35">
      <c r="A390" s="5" t="s">
        <v>1257</v>
      </c>
      <c r="B390" s="5"/>
      <c r="C390" s="5" t="s">
        <v>1258</v>
      </c>
      <c r="D390" s="82" t="s">
        <v>1259</v>
      </c>
      <c r="E390" s="82"/>
      <c r="F390" s="82"/>
      <c r="G390" s="82"/>
      <c r="H390" s="82"/>
      <c r="I390" s="82"/>
      <c r="J390" s="82"/>
      <c r="K390" s="23">
        <v>2</v>
      </c>
      <c r="L390" s="23">
        <f>ROUND(14.1,3)</f>
        <v>14.1</v>
      </c>
      <c r="M390" s="24">
        <f>ROUND((K390*L390)/100,2)</f>
        <v>0.28000000000000003</v>
      </c>
    </row>
    <row r="391" spans="1:13" ht="15.45" customHeight="1" thickBot="1" x14ac:dyDescent="0.35">
      <c r="A391" s="37"/>
      <c r="B391" s="37"/>
      <c r="C391" s="37"/>
      <c r="D391" s="38" t="s">
        <v>1260</v>
      </c>
      <c r="E391" s="37"/>
      <c r="F391" s="37"/>
      <c r="G391" s="37"/>
      <c r="H391" s="37"/>
      <c r="I391" s="37"/>
      <c r="J391" s="37"/>
      <c r="K391" s="39">
        <v>22</v>
      </c>
      <c r="L391" s="40">
        <f>ROUND((M373+M374+M375+M376+M377+M378+M379+M380+M381+M382+M383+M384+M385+M386+M387+M388+M389+M390)*(1+M2/100),2)</f>
        <v>14.81</v>
      </c>
      <c r="M391" s="40">
        <f>ROUND(K391*L391,2)</f>
        <v>325.82</v>
      </c>
    </row>
    <row r="392" spans="1:13" ht="15.45" customHeight="1" thickBot="1" x14ac:dyDescent="0.35">
      <c r="A392" s="41"/>
      <c r="B392" s="41"/>
      <c r="C392" s="41"/>
      <c r="D392" s="42" t="s">
        <v>1261</v>
      </c>
      <c r="E392" s="43"/>
      <c r="F392" s="43"/>
      <c r="G392" s="43"/>
      <c r="H392" s="43"/>
      <c r="I392" s="43"/>
      <c r="J392" s="43"/>
      <c r="K392" s="43"/>
      <c r="L392" s="44">
        <f>M368</f>
        <v>325.82</v>
      </c>
      <c r="M392" s="44">
        <f>ROUND(L392,2)</f>
        <v>325.82</v>
      </c>
    </row>
    <row r="393" spans="1:13" ht="15.45" customHeight="1" thickBot="1" x14ac:dyDescent="0.35">
      <c r="A393" s="41"/>
      <c r="B393" s="41"/>
      <c r="C393" s="41"/>
      <c r="D393" s="45" t="s">
        <v>1262</v>
      </c>
      <c r="E393" s="46"/>
      <c r="F393" s="46"/>
      <c r="G393" s="46"/>
      <c r="H393" s="46"/>
      <c r="I393" s="46"/>
      <c r="J393" s="46"/>
      <c r="K393" s="46"/>
      <c r="L393" s="47">
        <f>M392</f>
        <v>325.82</v>
      </c>
      <c r="M393" s="47">
        <f>ROUND(L393,2)</f>
        <v>325.82</v>
      </c>
    </row>
    <row r="394" spans="1:13" ht="15.45" customHeight="1" thickBot="1" x14ac:dyDescent="0.35">
      <c r="A394" s="62" t="s">
        <v>1263</v>
      </c>
      <c r="B394" s="62" t="s">
        <v>1264</v>
      </c>
      <c r="C394" s="63"/>
      <c r="D394" s="86" t="s">
        <v>1265</v>
      </c>
      <c r="E394" s="86"/>
      <c r="F394" s="86"/>
      <c r="G394" s="86"/>
      <c r="H394" s="86"/>
      <c r="I394" s="86"/>
      <c r="J394" s="86"/>
      <c r="K394" s="63"/>
      <c r="L394" s="64">
        <f>L408</f>
        <v>1262.52</v>
      </c>
      <c r="M394" s="64">
        <f>ROUND(L394,2)</f>
        <v>1262.52</v>
      </c>
    </row>
    <row r="395" spans="1:13" ht="15.45" customHeight="1" thickBot="1" x14ac:dyDescent="0.35">
      <c r="A395" s="20" t="s">
        <v>1266</v>
      </c>
      <c r="B395" s="20" t="s">
        <v>1267</v>
      </c>
      <c r="C395" s="21"/>
      <c r="D395" s="81" t="s">
        <v>1268</v>
      </c>
      <c r="E395" s="81"/>
      <c r="F395" s="81"/>
      <c r="G395" s="81"/>
      <c r="H395" s="81"/>
      <c r="I395" s="81"/>
      <c r="J395" s="81"/>
      <c r="K395" s="21"/>
      <c r="L395" s="22">
        <f>L407</f>
        <v>1262.52</v>
      </c>
      <c r="M395" s="22">
        <f>ROUND(L395,2)</f>
        <v>1262.52</v>
      </c>
    </row>
    <row r="396" spans="1:13" ht="39.75" customHeight="1" thickBot="1" x14ac:dyDescent="0.35">
      <c r="A396" s="10" t="s">
        <v>1269</v>
      </c>
      <c r="B396" s="5" t="s">
        <v>1270</v>
      </c>
      <c r="C396" s="5" t="s">
        <v>1271</v>
      </c>
      <c r="D396" s="82" t="s">
        <v>1272</v>
      </c>
      <c r="E396" s="82"/>
      <c r="F396" s="82"/>
      <c r="G396" s="82"/>
      <c r="H396" s="82"/>
      <c r="I396" s="82"/>
      <c r="J396" s="82"/>
      <c r="K396" s="23">
        <f>SUM(K398:K398)</f>
        <v>18</v>
      </c>
      <c r="L396" s="24">
        <f>L406</f>
        <v>70.14</v>
      </c>
      <c r="M396" s="24">
        <f>ROUND(K396*L396,2)</f>
        <v>1262.52</v>
      </c>
    </row>
    <row r="397" spans="1:13" ht="15.15" customHeight="1" thickBot="1" x14ac:dyDescent="0.35">
      <c r="A397" s="25"/>
      <c r="B397" s="25"/>
      <c r="C397" s="25"/>
      <c r="D397" s="25"/>
      <c r="E397" s="26"/>
      <c r="F397" s="28" t="s">
        <v>1273</v>
      </c>
      <c r="G397" s="28" t="s">
        <v>1274</v>
      </c>
      <c r="H397" s="28" t="s">
        <v>1275</v>
      </c>
      <c r="I397" s="28" t="s">
        <v>1276</v>
      </c>
      <c r="J397" s="28" t="s">
        <v>1277</v>
      </c>
      <c r="K397" s="28" t="s">
        <v>1278</v>
      </c>
      <c r="L397" s="25"/>
      <c r="M397" s="25"/>
    </row>
    <row r="398" spans="1:13" ht="15.15" customHeight="1" thickBot="1" x14ac:dyDescent="0.35">
      <c r="A398" s="25"/>
      <c r="B398" s="25"/>
      <c r="C398" s="25"/>
      <c r="D398" s="29"/>
      <c r="E398" s="30" t="s">
        <v>1279</v>
      </c>
      <c r="F398" s="31">
        <v>6</v>
      </c>
      <c r="G398" s="32">
        <v>2.5</v>
      </c>
      <c r="H398" s="32"/>
      <c r="I398" s="32">
        <v>1.2</v>
      </c>
      <c r="J398" s="34">
        <f>ROUND(F398*G398*I398,3)</f>
        <v>18</v>
      </c>
      <c r="K398" s="36">
        <f>SUM(J398:J398)</f>
        <v>18</v>
      </c>
      <c r="L398" s="25"/>
      <c r="M398" s="25"/>
    </row>
    <row r="399" spans="1:13" ht="30.6" customHeight="1" thickBot="1" x14ac:dyDescent="0.35">
      <c r="A399" s="5" t="s">
        <v>1280</v>
      </c>
      <c r="B399" s="5" t="s">
        <v>1281</v>
      </c>
      <c r="C399" s="5" t="s">
        <v>1282</v>
      </c>
      <c r="D399" s="82" t="s">
        <v>1283</v>
      </c>
      <c r="E399" s="82"/>
      <c r="F399" s="82"/>
      <c r="G399" s="82"/>
      <c r="H399" s="82"/>
      <c r="I399" s="82"/>
      <c r="J399" s="82"/>
      <c r="K399" s="23">
        <v>17.47</v>
      </c>
      <c r="L399" s="23">
        <f>ROUND(3.006,3)</f>
        <v>3.0059999999999998</v>
      </c>
      <c r="M399" s="24">
        <f t="shared" ref="M399:M404" si="19">ROUND(K399*L399,2)</f>
        <v>52.51</v>
      </c>
    </row>
    <row r="400" spans="1:13" ht="15.15" customHeight="1" thickBot="1" x14ac:dyDescent="0.35">
      <c r="A400" s="5" t="s">
        <v>1284</v>
      </c>
      <c r="B400" s="5" t="s">
        <v>1285</v>
      </c>
      <c r="C400" s="5" t="s">
        <v>1286</v>
      </c>
      <c r="D400" s="82" t="s">
        <v>1287</v>
      </c>
      <c r="E400" s="82"/>
      <c r="F400" s="82"/>
      <c r="G400" s="82"/>
      <c r="H400" s="82"/>
      <c r="I400" s="82"/>
      <c r="J400" s="82"/>
      <c r="K400" s="23">
        <v>2</v>
      </c>
      <c r="L400" s="23">
        <f>ROUND(0.727,3)</f>
        <v>0.72699999999999998</v>
      </c>
      <c r="M400" s="24">
        <f t="shared" si="19"/>
        <v>1.45</v>
      </c>
    </row>
    <row r="401" spans="1:13" ht="15.15" customHeight="1" thickBot="1" x14ac:dyDescent="0.35">
      <c r="A401" s="5" t="s">
        <v>1288</v>
      </c>
      <c r="B401" s="5" t="s">
        <v>1289</v>
      </c>
      <c r="C401" s="5" t="s">
        <v>1290</v>
      </c>
      <c r="D401" s="82" t="s">
        <v>1291</v>
      </c>
      <c r="E401" s="82"/>
      <c r="F401" s="82"/>
      <c r="G401" s="82"/>
      <c r="H401" s="82"/>
      <c r="I401" s="82"/>
      <c r="J401" s="82"/>
      <c r="K401" s="23">
        <v>6.0000000000000001E-3</v>
      </c>
      <c r="L401" s="23">
        <f>ROUND(0.99,3)</f>
        <v>0.99</v>
      </c>
      <c r="M401" s="24">
        <f t="shared" si="19"/>
        <v>0.01</v>
      </c>
    </row>
    <row r="402" spans="1:13" ht="21.3" customHeight="1" thickBot="1" x14ac:dyDescent="0.35">
      <c r="A402" s="5" t="s">
        <v>1292</v>
      </c>
      <c r="B402" s="5" t="s">
        <v>1293</v>
      </c>
      <c r="C402" s="5" t="s">
        <v>1294</v>
      </c>
      <c r="D402" s="82" t="s">
        <v>1295</v>
      </c>
      <c r="E402" s="82"/>
      <c r="F402" s="82"/>
      <c r="G402" s="82"/>
      <c r="H402" s="82"/>
      <c r="I402" s="82"/>
      <c r="J402" s="82"/>
      <c r="K402" s="23">
        <v>1.4999999999999999E-2</v>
      </c>
      <c r="L402" s="23">
        <f>ROUND(18.161,3)</f>
        <v>18.161000000000001</v>
      </c>
      <c r="M402" s="24">
        <f t="shared" si="19"/>
        <v>0.27</v>
      </c>
    </row>
    <row r="403" spans="1:13" ht="15.15" customHeight="1" thickBot="1" x14ac:dyDescent="0.35">
      <c r="A403" s="5" t="s">
        <v>1296</v>
      </c>
      <c r="B403" s="5" t="s">
        <v>1297</v>
      </c>
      <c r="C403" s="5" t="s">
        <v>1298</v>
      </c>
      <c r="D403" s="82" t="s">
        <v>1299</v>
      </c>
      <c r="E403" s="82"/>
      <c r="F403" s="82"/>
      <c r="G403" s="82"/>
      <c r="H403" s="82"/>
      <c r="I403" s="82"/>
      <c r="J403" s="82"/>
      <c r="K403" s="23">
        <v>0.29399999999999998</v>
      </c>
      <c r="L403" s="23">
        <f>ROUND(30,3)</f>
        <v>30</v>
      </c>
      <c r="M403" s="24">
        <f t="shared" si="19"/>
        <v>8.82</v>
      </c>
    </row>
    <row r="404" spans="1:13" ht="15.15" customHeight="1" thickBot="1" x14ac:dyDescent="0.35">
      <c r="A404" s="5" t="s">
        <v>1300</v>
      </c>
      <c r="B404" s="5" t="s">
        <v>1301</v>
      </c>
      <c r="C404" s="5" t="s">
        <v>1302</v>
      </c>
      <c r="D404" s="82" t="s">
        <v>1303</v>
      </c>
      <c r="E404" s="82"/>
      <c r="F404" s="82"/>
      <c r="G404" s="82"/>
      <c r="H404" s="82"/>
      <c r="I404" s="82"/>
      <c r="J404" s="82"/>
      <c r="K404" s="23">
        <v>0.17599999999999999</v>
      </c>
      <c r="L404" s="23">
        <f>ROUND(21,3)</f>
        <v>21</v>
      </c>
      <c r="M404" s="24">
        <f t="shared" si="19"/>
        <v>3.7</v>
      </c>
    </row>
    <row r="405" spans="1:13" ht="15.15" customHeight="1" thickBot="1" x14ac:dyDescent="0.35">
      <c r="A405" s="5" t="s">
        <v>1304</v>
      </c>
      <c r="B405" s="5"/>
      <c r="C405" s="5" t="s">
        <v>1305</v>
      </c>
      <c r="D405" s="82" t="s">
        <v>1306</v>
      </c>
      <c r="E405" s="82"/>
      <c r="F405" s="82"/>
      <c r="G405" s="82"/>
      <c r="H405" s="82"/>
      <c r="I405" s="82"/>
      <c r="J405" s="82"/>
      <c r="K405" s="23">
        <v>2</v>
      </c>
      <c r="L405" s="23">
        <f>ROUND(66.76,3)</f>
        <v>66.760000000000005</v>
      </c>
      <c r="M405" s="24">
        <f>ROUND((K405*L405)/100,2)</f>
        <v>1.34</v>
      </c>
    </row>
    <row r="406" spans="1:13" ht="15.45" customHeight="1" thickBot="1" x14ac:dyDescent="0.35">
      <c r="A406" s="37"/>
      <c r="B406" s="37"/>
      <c r="C406" s="37"/>
      <c r="D406" s="38" t="s">
        <v>1307</v>
      </c>
      <c r="E406" s="37"/>
      <c r="F406" s="37"/>
      <c r="G406" s="37"/>
      <c r="H406" s="37"/>
      <c r="I406" s="37"/>
      <c r="J406" s="37"/>
      <c r="K406" s="39">
        <v>18</v>
      </c>
      <c r="L406" s="40">
        <f>ROUND((M399+M400+M401+M402+M403+M404+M405)*(1+M2/100),2)</f>
        <v>70.14</v>
      </c>
      <c r="M406" s="40">
        <f>ROUND(K406*L406,2)</f>
        <v>1262.52</v>
      </c>
    </row>
    <row r="407" spans="1:13" ht="15.45" customHeight="1" thickBot="1" x14ac:dyDescent="0.35">
      <c r="A407" s="41"/>
      <c r="B407" s="41"/>
      <c r="C407" s="41"/>
      <c r="D407" s="42" t="s">
        <v>1308</v>
      </c>
      <c r="E407" s="43"/>
      <c r="F407" s="43"/>
      <c r="G407" s="43"/>
      <c r="H407" s="43"/>
      <c r="I407" s="43"/>
      <c r="J407" s="43"/>
      <c r="K407" s="43"/>
      <c r="L407" s="44">
        <f>M396</f>
        <v>1262.52</v>
      </c>
      <c r="M407" s="44">
        <f t="shared" ref="M407:M412" si="20">ROUND(L407,2)</f>
        <v>1262.52</v>
      </c>
    </row>
    <row r="408" spans="1:13" ht="15.45" customHeight="1" thickBot="1" x14ac:dyDescent="0.35">
      <c r="A408" s="41"/>
      <c r="B408" s="41"/>
      <c r="C408" s="41"/>
      <c r="D408" s="45" t="s">
        <v>1309</v>
      </c>
      <c r="E408" s="46"/>
      <c r="F408" s="46"/>
      <c r="G408" s="46"/>
      <c r="H408" s="46"/>
      <c r="I408" s="46"/>
      <c r="J408" s="46"/>
      <c r="K408" s="46"/>
      <c r="L408" s="47">
        <f>M407</f>
        <v>1262.52</v>
      </c>
      <c r="M408" s="47">
        <f t="shared" si="20"/>
        <v>1262.52</v>
      </c>
    </row>
    <row r="409" spans="1:13" ht="15.45" customHeight="1" thickBot="1" x14ac:dyDescent="0.35">
      <c r="A409" s="41"/>
      <c r="B409" s="41"/>
      <c r="C409" s="41"/>
      <c r="D409" s="48" t="s">
        <v>1310</v>
      </c>
      <c r="E409" s="49"/>
      <c r="F409" s="49"/>
      <c r="G409" s="49"/>
      <c r="H409" s="49"/>
      <c r="I409" s="49"/>
      <c r="J409" s="49"/>
      <c r="K409" s="49"/>
      <c r="L409" s="50">
        <f>M365+M393+M408</f>
        <v>9415.02</v>
      </c>
      <c r="M409" s="50">
        <f t="shared" si="20"/>
        <v>9415.02</v>
      </c>
    </row>
    <row r="410" spans="1:13" ht="15.45" customHeight="1" thickBot="1" x14ac:dyDescent="0.35">
      <c r="A410" s="51" t="s">
        <v>1311</v>
      </c>
      <c r="B410" s="51" t="s">
        <v>1312</v>
      </c>
      <c r="C410" s="52"/>
      <c r="D410" s="83" t="s">
        <v>1313</v>
      </c>
      <c r="E410" s="83"/>
      <c r="F410" s="83"/>
      <c r="G410" s="83"/>
      <c r="H410" s="83"/>
      <c r="I410" s="83"/>
      <c r="J410" s="83"/>
      <c r="K410" s="52"/>
      <c r="L410" s="53">
        <f>L473</f>
        <v>4705.55</v>
      </c>
      <c r="M410" s="53">
        <f t="shared" si="20"/>
        <v>4705.55</v>
      </c>
    </row>
    <row r="411" spans="1:13" ht="15.45" customHeight="1" thickBot="1" x14ac:dyDescent="0.35">
      <c r="A411" s="17" t="s">
        <v>1314</v>
      </c>
      <c r="B411" s="17" t="s">
        <v>1315</v>
      </c>
      <c r="C411" s="18"/>
      <c r="D411" s="80" t="s">
        <v>1316</v>
      </c>
      <c r="E411" s="80"/>
      <c r="F411" s="80"/>
      <c r="G411" s="80"/>
      <c r="H411" s="80"/>
      <c r="I411" s="80"/>
      <c r="J411" s="80"/>
      <c r="K411" s="18"/>
      <c r="L411" s="19">
        <f>L424</f>
        <v>1896.9</v>
      </c>
      <c r="M411" s="19">
        <f t="shared" si="20"/>
        <v>1896.9</v>
      </c>
    </row>
    <row r="412" spans="1:13" ht="15.45" customHeight="1" thickBot="1" x14ac:dyDescent="0.35">
      <c r="A412" s="20" t="s">
        <v>1317</v>
      </c>
      <c r="B412" s="20" t="s">
        <v>1318</v>
      </c>
      <c r="C412" s="21"/>
      <c r="D412" s="81" t="s">
        <v>1319</v>
      </c>
      <c r="E412" s="81"/>
      <c r="F412" s="81"/>
      <c r="G412" s="81"/>
      <c r="H412" s="81"/>
      <c r="I412" s="81"/>
      <c r="J412" s="81"/>
      <c r="K412" s="21"/>
      <c r="L412" s="22">
        <f>L423</f>
        <v>1896.9</v>
      </c>
      <c r="M412" s="22">
        <f t="shared" si="20"/>
        <v>1896.9</v>
      </c>
    </row>
    <row r="413" spans="1:13" ht="95.25" customHeight="1" thickBot="1" x14ac:dyDescent="0.35">
      <c r="A413" s="10" t="s">
        <v>1320</v>
      </c>
      <c r="B413" s="5" t="s">
        <v>1321</v>
      </c>
      <c r="C413" s="5" t="s">
        <v>1322</v>
      </c>
      <c r="D413" s="82" t="s">
        <v>1323</v>
      </c>
      <c r="E413" s="82"/>
      <c r="F413" s="82"/>
      <c r="G413" s="82"/>
      <c r="H413" s="82"/>
      <c r="I413" s="82"/>
      <c r="J413" s="82"/>
      <c r="K413" s="23">
        <f>SUM(K415:K415)</f>
        <v>6</v>
      </c>
      <c r="L413" s="24">
        <f>L422</f>
        <v>316.14999999999998</v>
      </c>
      <c r="M413" s="24">
        <f>ROUND(K413*L413,2)</f>
        <v>1896.9</v>
      </c>
    </row>
    <row r="414" spans="1:13" ht="15.15" customHeight="1" thickBot="1" x14ac:dyDescent="0.35">
      <c r="A414" s="25"/>
      <c r="B414" s="25"/>
      <c r="C414" s="25"/>
      <c r="D414" s="25"/>
      <c r="E414" s="26"/>
      <c r="F414" s="28" t="s">
        <v>1324</v>
      </c>
      <c r="G414" s="28" t="s">
        <v>1325</v>
      </c>
      <c r="H414" s="28" t="s">
        <v>1326</v>
      </c>
      <c r="I414" s="28" t="s">
        <v>1327</v>
      </c>
      <c r="J414" s="28" t="s">
        <v>1328</v>
      </c>
      <c r="K414" s="28" t="s">
        <v>1329</v>
      </c>
      <c r="L414" s="25"/>
      <c r="M414" s="25"/>
    </row>
    <row r="415" spans="1:13" ht="15.15" customHeight="1" thickBot="1" x14ac:dyDescent="0.35">
      <c r="A415" s="25"/>
      <c r="B415" s="25"/>
      <c r="C415" s="25"/>
      <c r="D415" s="29"/>
      <c r="E415" s="30" t="s">
        <v>1330</v>
      </c>
      <c r="F415" s="31">
        <v>6</v>
      </c>
      <c r="G415" s="32"/>
      <c r="H415" s="32"/>
      <c r="I415" s="32"/>
      <c r="J415" s="34">
        <f>ROUND(F415,3)</f>
        <v>6</v>
      </c>
      <c r="K415" s="36">
        <f>SUM(J415:J415)</f>
        <v>6</v>
      </c>
      <c r="L415" s="25"/>
      <c r="M415" s="25"/>
    </row>
    <row r="416" spans="1:13" ht="67.5" customHeight="1" thickBot="1" x14ac:dyDescent="0.35">
      <c r="A416" s="5" t="s">
        <v>1331</v>
      </c>
      <c r="B416" s="5" t="s">
        <v>1332</v>
      </c>
      <c r="C416" s="5" t="s">
        <v>1333</v>
      </c>
      <c r="D416" s="82" t="s">
        <v>1334</v>
      </c>
      <c r="E416" s="82"/>
      <c r="F416" s="82"/>
      <c r="G416" s="82"/>
      <c r="H416" s="82"/>
      <c r="I416" s="82"/>
      <c r="J416" s="82"/>
      <c r="K416" s="23">
        <v>1</v>
      </c>
      <c r="L416" s="23">
        <f>ROUND(256.524,3)</f>
        <v>256.524</v>
      </c>
      <c r="M416" s="24">
        <f>ROUND(K416*L416,2)</f>
        <v>256.52</v>
      </c>
    </row>
    <row r="417" spans="1:13" ht="21.3" customHeight="1" thickBot="1" x14ac:dyDescent="0.35">
      <c r="A417" s="5" t="s">
        <v>1335</v>
      </c>
      <c r="B417" s="5" t="s">
        <v>1336</v>
      </c>
      <c r="C417" s="5" t="s">
        <v>1337</v>
      </c>
      <c r="D417" s="82" t="s">
        <v>1338</v>
      </c>
      <c r="E417" s="82"/>
      <c r="F417" s="82"/>
      <c r="G417" s="82"/>
      <c r="H417" s="82"/>
      <c r="I417" s="82"/>
      <c r="J417" s="82"/>
      <c r="K417" s="23">
        <v>1.258</v>
      </c>
      <c r="L417" s="23">
        <f>ROUND(3.13,3)</f>
        <v>3.13</v>
      </c>
      <c r="M417" s="24">
        <f>ROUND(K417*L417,2)</f>
        <v>3.94</v>
      </c>
    </row>
    <row r="418" spans="1:13" ht="30.6" customHeight="1" thickBot="1" x14ac:dyDescent="0.35">
      <c r="A418" s="5" t="s">
        <v>1339</v>
      </c>
      <c r="B418" s="5" t="s">
        <v>1340</v>
      </c>
      <c r="C418" s="5" t="s">
        <v>1341</v>
      </c>
      <c r="D418" s="82" t="s">
        <v>1342</v>
      </c>
      <c r="E418" s="82"/>
      <c r="F418" s="82"/>
      <c r="G418" s="82"/>
      <c r="H418" s="82"/>
      <c r="I418" s="82"/>
      <c r="J418" s="82"/>
      <c r="K418" s="23">
        <v>1.258</v>
      </c>
      <c r="L418" s="23">
        <f>ROUND(2.834,3)</f>
        <v>2.8340000000000001</v>
      </c>
      <c r="M418" s="24">
        <f>ROUND(K418*L418,2)</f>
        <v>3.57</v>
      </c>
    </row>
    <row r="419" spans="1:13" ht="15.15" customHeight="1" thickBot="1" x14ac:dyDescent="0.35">
      <c r="A419" s="5" t="s">
        <v>1343</v>
      </c>
      <c r="B419" s="5" t="s">
        <v>1344</v>
      </c>
      <c r="C419" s="5" t="s">
        <v>1345</v>
      </c>
      <c r="D419" s="82" t="s">
        <v>1346</v>
      </c>
      <c r="E419" s="82"/>
      <c r="F419" s="82"/>
      <c r="G419" s="82"/>
      <c r="H419" s="82"/>
      <c r="I419" s="82"/>
      <c r="J419" s="82"/>
      <c r="K419" s="23">
        <v>0.91300000000000003</v>
      </c>
      <c r="L419" s="23">
        <f>ROUND(24.42,3)</f>
        <v>24.42</v>
      </c>
      <c r="M419" s="24">
        <f>ROUND(K419*L419,2)</f>
        <v>22.3</v>
      </c>
    </row>
    <row r="420" spans="1:13" ht="15.15" customHeight="1" thickBot="1" x14ac:dyDescent="0.35">
      <c r="A420" s="5" t="s">
        <v>1347</v>
      </c>
      <c r="B420" s="5" t="s">
        <v>1348</v>
      </c>
      <c r="C420" s="5" t="s">
        <v>1349</v>
      </c>
      <c r="D420" s="82" t="s">
        <v>1350</v>
      </c>
      <c r="E420" s="82"/>
      <c r="F420" s="82"/>
      <c r="G420" s="82"/>
      <c r="H420" s="82"/>
      <c r="I420" s="82"/>
      <c r="J420" s="82"/>
      <c r="K420" s="23">
        <v>0.67600000000000005</v>
      </c>
      <c r="L420" s="23">
        <f>ROUND(21.58,3)</f>
        <v>21.58</v>
      </c>
      <c r="M420" s="24">
        <f>ROUND(K420*L420,2)</f>
        <v>14.59</v>
      </c>
    </row>
    <row r="421" spans="1:13" ht="15.15" customHeight="1" thickBot="1" x14ac:dyDescent="0.35">
      <c r="A421" s="5" t="s">
        <v>1351</v>
      </c>
      <c r="B421" s="5"/>
      <c r="C421" s="5" t="s">
        <v>1352</v>
      </c>
      <c r="D421" s="82" t="s">
        <v>1353</v>
      </c>
      <c r="E421" s="82"/>
      <c r="F421" s="82"/>
      <c r="G421" s="82"/>
      <c r="H421" s="82"/>
      <c r="I421" s="82"/>
      <c r="J421" s="82"/>
      <c r="K421" s="23">
        <v>2</v>
      </c>
      <c r="L421" s="23">
        <f>ROUND(300.92,3)</f>
        <v>300.92</v>
      </c>
      <c r="M421" s="24">
        <f>ROUND((K421*L421)/100,2)</f>
        <v>6.02</v>
      </c>
    </row>
    <row r="422" spans="1:13" ht="15.45" customHeight="1" thickBot="1" x14ac:dyDescent="0.35">
      <c r="A422" s="37"/>
      <c r="B422" s="37"/>
      <c r="C422" s="37"/>
      <c r="D422" s="38" t="s">
        <v>1354</v>
      </c>
      <c r="E422" s="37"/>
      <c r="F422" s="37"/>
      <c r="G422" s="37"/>
      <c r="H422" s="37"/>
      <c r="I422" s="37"/>
      <c r="J422" s="37"/>
      <c r="K422" s="39">
        <v>6</v>
      </c>
      <c r="L422" s="40">
        <f>ROUND((M416+M417+M418+M419+M420+M421)*(1+M2/100),2)</f>
        <v>316.14999999999998</v>
      </c>
      <c r="M422" s="40">
        <f>ROUND(K422*L422,2)</f>
        <v>1896.9</v>
      </c>
    </row>
    <row r="423" spans="1:13" ht="15.45" customHeight="1" thickBot="1" x14ac:dyDescent="0.35">
      <c r="A423" s="41"/>
      <c r="B423" s="41"/>
      <c r="C423" s="41"/>
      <c r="D423" s="42" t="s">
        <v>1355</v>
      </c>
      <c r="E423" s="43"/>
      <c r="F423" s="43"/>
      <c r="G423" s="43"/>
      <c r="H423" s="43"/>
      <c r="I423" s="43"/>
      <c r="J423" s="43"/>
      <c r="K423" s="43"/>
      <c r="L423" s="44">
        <f>M413</f>
        <v>1896.9</v>
      </c>
      <c r="M423" s="44">
        <f>ROUND(L423,2)</f>
        <v>1896.9</v>
      </c>
    </row>
    <row r="424" spans="1:13" ht="15.45" customHeight="1" thickBot="1" x14ac:dyDescent="0.35">
      <c r="A424" s="41"/>
      <c r="B424" s="41"/>
      <c r="C424" s="41"/>
      <c r="D424" s="45" t="s">
        <v>1356</v>
      </c>
      <c r="E424" s="46"/>
      <c r="F424" s="46"/>
      <c r="G424" s="46"/>
      <c r="H424" s="46"/>
      <c r="I424" s="46"/>
      <c r="J424" s="46"/>
      <c r="K424" s="46"/>
      <c r="L424" s="47">
        <f>M423</f>
        <v>1896.9</v>
      </c>
      <c r="M424" s="47">
        <f>ROUND(L424,2)</f>
        <v>1896.9</v>
      </c>
    </row>
    <row r="425" spans="1:13" ht="15.45" customHeight="1" thickBot="1" x14ac:dyDescent="0.35">
      <c r="A425" s="62" t="s">
        <v>1357</v>
      </c>
      <c r="B425" s="62" t="s">
        <v>1358</v>
      </c>
      <c r="C425" s="63"/>
      <c r="D425" s="86" t="s">
        <v>1359</v>
      </c>
      <c r="E425" s="86"/>
      <c r="F425" s="86"/>
      <c r="G425" s="86"/>
      <c r="H425" s="86"/>
      <c r="I425" s="86"/>
      <c r="J425" s="86"/>
      <c r="K425" s="63"/>
      <c r="L425" s="64">
        <f>L441</f>
        <v>301.81</v>
      </c>
      <c r="M425" s="64">
        <f>ROUND(L425,2)</f>
        <v>301.81</v>
      </c>
    </row>
    <row r="426" spans="1:13" ht="15.45" customHeight="1" thickBot="1" x14ac:dyDescent="0.35">
      <c r="A426" s="20" t="s">
        <v>1360</v>
      </c>
      <c r="B426" s="20" t="s">
        <v>1361</v>
      </c>
      <c r="C426" s="21"/>
      <c r="D426" s="81" t="s">
        <v>1362</v>
      </c>
      <c r="E426" s="81"/>
      <c r="F426" s="81"/>
      <c r="G426" s="81"/>
      <c r="H426" s="81"/>
      <c r="I426" s="81"/>
      <c r="J426" s="81"/>
      <c r="K426" s="21"/>
      <c r="L426" s="22">
        <f>L440</f>
        <v>301.81</v>
      </c>
      <c r="M426" s="22">
        <f>ROUND(L426,2)</f>
        <v>301.81</v>
      </c>
    </row>
    <row r="427" spans="1:13" ht="49.05" customHeight="1" thickBot="1" x14ac:dyDescent="0.35">
      <c r="A427" s="10" t="s">
        <v>1363</v>
      </c>
      <c r="B427" s="5" t="s">
        <v>1364</v>
      </c>
      <c r="C427" s="5" t="s">
        <v>1365</v>
      </c>
      <c r="D427" s="82" t="s">
        <v>1366</v>
      </c>
      <c r="E427" s="82"/>
      <c r="F427" s="82"/>
      <c r="G427" s="82"/>
      <c r="H427" s="82"/>
      <c r="I427" s="82"/>
      <c r="J427" s="82"/>
      <c r="K427" s="23">
        <f>SUM(K429:K429)</f>
        <v>1</v>
      </c>
      <c r="L427" s="24">
        <f>L439</f>
        <v>301.81</v>
      </c>
      <c r="M427" s="24">
        <f>ROUND(K427*L427,2)</f>
        <v>301.81</v>
      </c>
    </row>
    <row r="428" spans="1:13" ht="15.15" customHeight="1" thickBot="1" x14ac:dyDescent="0.35">
      <c r="A428" s="25"/>
      <c r="B428" s="25"/>
      <c r="C428" s="25"/>
      <c r="D428" s="25"/>
      <c r="E428" s="26"/>
      <c r="F428" s="28" t="s">
        <v>1367</v>
      </c>
      <c r="G428" s="28" t="s">
        <v>1368</v>
      </c>
      <c r="H428" s="28" t="s">
        <v>1369</v>
      </c>
      <c r="I428" s="28" t="s">
        <v>1370</v>
      </c>
      <c r="J428" s="28" t="s">
        <v>1371</v>
      </c>
      <c r="K428" s="28" t="s">
        <v>1372</v>
      </c>
      <c r="L428" s="25"/>
      <c r="M428" s="25"/>
    </row>
    <row r="429" spans="1:13" ht="15.15" customHeight="1" thickBot="1" x14ac:dyDescent="0.35">
      <c r="A429" s="25"/>
      <c r="B429" s="25"/>
      <c r="C429" s="25"/>
      <c r="D429" s="29"/>
      <c r="E429" s="30" t="s">
        <v>1373</v>
      </c>
      <c r="F429" s="31">
        <v>1</v>
      </c>
      <c r="G429" s="32"/>
      <c r="H429" s="32"/>
      <c r="I429" s="32"/>
      <c r="J429" s="34">
        <f>ROUND(F429,3)</f>
        <v>1</v>
      </c>
      <c r="K429" s="36">
        <f>SUM(J429:J429)</f>
        <v>1</v>
      </c>
      <c r="L429" s="25"/>
      <c r="M429" s="25"/>
    </row>
    <row r="430" spans="1:13" ht="21.3" customHeight="1" thickBot="1" x14ac:dyDescent="0.35">
      <c r="A430" s="5" t="s">
        <v>1374</v>
      </c>
      <c r="B430" s="5" t="s">
        <v>1375</v>
      </c>
      <c r="C430" s="5" t="s">
        <v>1376</v>
      </c>
      <c r="D430" s="82" t="s">
        <v>1377</v>
      </c>
      <c r="E430" s="82"/>
      <c r="F430" s="82"/>
      <c r="G430" s="82"/>
      <c r="H430" s="82"/>
      <c r="I430" s="82"/>
      <c r="J430" s="82"/>
      <c r="K430" s="23">
        <v>1</v>
      </c>
      <c r="L430" s="23">
        <f>ROUND(235.463,3)</f>
        <v>235.46299999999999</v>
      </c>
      <c r="M430" s="24">
        <f t="shared" ref="M430:M437" si="21">ROUND(K430*L430,2)</f>
        <v>235.46</v>
      </c>
    </row>
    <row r="431" spans="1:13" ht="15.15" customHeight="1" thickBot="1" x14ac:dyDescent="0.35">
      <c r="A431" s="5" t="s">
        <v>1378</v>
      </c>
      <c r="B431" s="5" t="s">
        <v>1379</v>
      </c>
      <c r="C431" s="5" t="s">
        <v>1380</v>
      </c>
      <c r="D431" s="82" t="s">
        <v>1381</v>
      </c>
      <c r="E431" s="82"/>
      <c r="F431" s="82"/>
      <c r="G431" s="82"/>
      <c r="H431" s="82"/>
      <c r="I431" s="82"/>
      <c r="J431" s="82"/>
      <c r="K431" s="23">
        <v>1</v>
      </c>
      <c r="L431" s="23">
        <f>ROUND(26.471,3)</f>
        <v>26.471</v>
      </c>
      <c r="M431" s="24">
        <f t="shared" si="21"/>
        <v>26.47</v>
      </c>
    </row>
    <row r="432" spans="1:13" ht="30.6" customHeight="1" thickBot="1" x14ac:dyDescent="0.35">
      <c r="A432" s="5" t="s">
        <v>1382</v>
      </c>
      <c r="B432" s="5" t="s">
        <v>1383</v>
      </c>
      <c r="C432" s="5" t="s">
        <v>1384</v>
      </c>
      <c r="D432" s="82" t="s">
        <v>1385</v>
      </c>
      <c r="E432" s="82"/>
      <c r="F432" s="82"/>
      <c r="G432" s="82"/>
      <c r="H432" s="82"/>
      <c r="I432" s="82"/>
      <c r="J432" s="82"/>
      <c r="K432" s="23">
        <v>0.1</v>
      </c>
      <c r="L432" s="23">
        <f>ROUND(3.791,3)</f>
        <v>3.7909999999999999</v>
      </c>
      <c r="M432" s="24">
        <f t="shared" si="21"/>
        <v>0.38</v>
      </c>
    </row>
    <row r="433" spans="1:13" ht="15.15" customHeight="1" thickBot="1" x14ac:dyDescent="0.35">
      <c r="A433" s="5" t="s">
        <v>1386</v>
      </c>
      <c r="B433" s="5" t="s">
        <v>1387</v>
      </c>
      <c r="C433" s="5" t="s">
        <v>1388</v>
      </c>
      <c r="D433" s="82" t="s">
        <v>1389</v>
      </c>
      <c r="E433" s="82"/>
      <c r="F433" s="82"/>
      <c r="G433" s="82"/>
      <c r="H433" s="82"/>
      <c r="I433" s="82"/>
      <c r="J433" s="82"/>
      <c r="K433" s="23">
        <v>0.2</v>
      </c>
      <c r="L433" s="23">
        <f>ROUND(1.649,3)</f>
        <v>1.649</v>
      </c>
      <c r="M433" s="24">
        <f t="shared" si="21"/>
        <v>0.33</v>
      </c>
    </row>
    <row r="434" spans="1:13" ht="15.15" customHeight="1" thickBot="1" x14ac:dyDescent="0.35">
      <c r="A434" s="5" t="s">
        <v>1390</v>
      </c>
      <c r="B434" s="5" t="s">
        <v>1391</v>
      </c>
      <c r="C434" s="5" t="s">
        <v>1392</v>
      </c>
      <c r="D434" s="82" t="s">
        <v>1393</v>
      </c>
      <c r="E434" s="82"/>
      <c r="F434" s="82"/>
      <c r="G434" s="82"/>
      <c r="H434" s="82"/>
      <c r="I434" s="82"/>
      <c r="J434" s="82"/>
      <c r="K434" s="23">
        <v>0.29799999999999999</v>
      </c>
      <c r="L434" s="23">
        <f>ROUND(30,3)</f>
        <v>30</v>
      </c>
      <c r="M434" s="24">
        <f t="shared" si="21"/>
        <v>8.94</v>
      </c>
    </row>
    <row r="435" spans="1:13" ht="15.15" customHeight="1" thickBot="1" x14ac:dyDescent="0.35">
      <c r="A435" s="5" t="s">
        <v>1394</v>
      </c>
      <c r="B435" s="5" t="s">
        <v>1395</v>
      </c>
      <c r="C435" s="5" t="s">
        <v>1396</v>
      </c>
      <c r="D435" s="82" t="s">
        <v>1397</v>
      </c>
      <c r="E435" s="82"/>
      <c r="F435" s="82"/>
      <c r="G435" s="82"/>
      <c r="H435" s="82"/>
      <c r="I435" s="82"/>
      <c r="J435" s="82"/>
      <c r="K435" s="23">
        <v>0.29799999999999999</v>
      </c>
      <c r="L435" s="23">
        <f>ROUND(21,3)</f>
        <v>21</v>
      </c>
      <c r="M435" s="24">
        <f t="shared" si="21"/>
        <v>6.26</v>
      </c>
    </row>
    <row r="436" spans="1:13" ht="15.15" customHeight="1" thickBot="1" x14ac:dyDescent="0.35">
      <c r="A436" s="5" t="s">
        <v>1398</v>
      </c>
      <c r="B436" s="5" t="s">
        <v>1399</v>
      </c>
      <c r="C436" s="5" t="s">
        <v>1400</v>
      </c>
      <c r="D436" s="82" t="s">
        <v>1401</v>
      </c>
      <c r="E436" s="82"/>
      <c r="F436" s="82"/>
      <c r="G436" s="82"/>
      <c r="H436" s="82"/>
      <c r="I436" s="82"/>
      <c r="J436" s="82"/>
      <c r="K436" s="23">
        <v>0.26800000000000002</v>
      </c>
      <c r="L436" s="23">
        <f>ROUND(24.42,3)</f>
        <v>24.42</v>
      </c>
      <c r="M436" s="24">
        <f t="shared" si="21"/>
        <v>6.54</v>
      </c>
    </row>
    <row r="437" spans="1:13" ht="15.15" customHeight="1" thickBot="1" x14ac:dyDescent="0.35">
      <c r="A437" s="5" t="s">
        <v>1402</v>
      </c>
      <c r="B437" s="5" t="s">
        <v>1403</v>
      </c>
      <c r="C437" s="5" t="s">
        <v>1404</v>
      </c>
      <c r="D437" s="82" t="s">
        <v>1405</v>
      </c>
      <c r="E437" s="82"/>
      <c r="F437" s="82"/>
      <c r="G437" s="82"/>
      <c r="H437" s="82"/>
      <c r="I437" s="82"/>
      <c r="J437" s="82"/>
      <c r="K437" s="23">
        <v>0.13400000000000001</v>
      </c>
      <c r="L437" s="23">
        <f>ROUND(21.58,3)</f>
        <v>21.58</v>
      </c>
      <c r="M437" s="24">
        <f t="shared" si="21"/>
        <v>2.89</v>
      </c>
    </row>
    <row r="438" spans="1:13" ht="15.15" customHeight="1" thickBot="1" x14ac:dyDescent="0.35">
      <c r="A438" s="5" t="s">
        <v>1406</v>
      </c>
      <c r="B438" s="5"/>
      <c r="C438" s="5" t="s">
        <v>1407</v>
      </c>
      <c r="D438" s="82" t="s">
        <v>1408</v>
      </c>
      <c r="E438" s="82"/>
      <c r="F438" s="82"/>
      <c r="G438" s="82"/>
      <c r="H438" s="82"/>
      <c r="I438" s="82"/>
      <c r="J438" s="82"/>
      <c r="K438" s="23">
        <v>2</v>
      </c>
      <c r="L438" s="23">
        <f>ROUND(287.27,3)</f>
        <v>287.27</v>
      </c>
      <c r="M438" s="24">
        <f>ROUND((K438*L438)/100,2)</f>
        <v>5.75</v>
      </c>
    </row>
    <row r="439" spans="1:13" ht="15.45" customHeight="1" thickBot="1" x14ac:dyDescent="0.35">
      <c r="A439" s="37"/>
      <c r="B439" s="37"/>
      <c r="C439" s="37"/>
      <c r="D439" s="38" t="s">
        <v>1409</v>
      </c>
      <c r="E439" s="37"/>
      <c r="F439" s="37"/>
      <c r="G439" s="37"/>
      <c r="H439" s="37"/>
      <c r="I439" s="37"/>
      <c r="J439" s="37"/>
      <c r="K439" s="39">
        <v>1</v>
      </c>
      <c r="L439" s="40">
        <f>ROUND((M430+M431+M432+M433+M434+M435+M436+M437+M438)*(1+M2/100),2)</f>
        <v>301.81</v>
      </c>
      <c r="M439" s="40">
        <f>ROUND(K439*L439,2)</f>
        <v>301.81</v>
      </c>
    </row>
    <row r="440" spans="1:13" ht="15.45" customHeight="1" thickBot="1" x14ac:dyDescent="0.35">
      <c r="A440" s="41"/>
      <c r="B440" s="41"/>
      <c r="C440" s="41"/>
      <c r="D440" s="42" t="s">
        <v>1410</v>
      </c>
      <c r="E440" s="43"/>
      <c r="F440" s="43"/>
      <c r="G440" s="43"/>
      <c r="H440" s="43"/>
      <c r="I440" s="43"/>
      <c r="J440" s="43"/>
      <c r="K440" s="43"/>
      <c r="L440" s="44">
        <f>M427</f>
        <v>301.81</v>
      </c>
      <c r="M440" s="44">
        <f>ROUND(L440,2)</f>
        <v>301.81</v>
      </c>
    </row>
    <row r="441" spans="1:13" ht="15.45" customHeight="1" thickBot="1" x14ac:dyDescent="0.35">
      <c r="A441" s="41"/>
      <c r="B441" s="41"/>
      <c r="C441" s="41"/>
      <c r="D441" s="45" t="s">
        <v>1411</v>
      </c>
      <c r="E441" s="46"/>
      <c r="F441" s="46"/>
      <c r="G441" s="46"/>
      <c r="H441" s="46"/>
      <c r="I441" s="46"/>
      <c r="J441" s="46"/>
      <c r="K441" s="46"/>
      <c r="L441" s="47">
        <f>M440</f>
        <v>301.81</v>
      </c>
      <c r="M441" s="47">
        <f>ROUND(L441,2)</f>
        <v>301.81</v>
      </c>
    </row>
    <row r="442" spans="1:13" ht="15.45" customHeight="1" thickBot="1" x14ac:dyDescent="0.35">
      <c r="A442" s="62" t="s">
        <v>1412</v>
      </c>
      <c r="B442" s="62" t="s">
        <v>1413</v>
      </c>
      <c r="C442" s="63"/>
      <c r="D442" s="86" t="s">
        <v>1414</v>
      </c>
      <c r="E442" s="86"/>
      <c r="F442" s="86"/>
      <c r="G442" s="86"/>
      <c r="H442" s="86"/>
      <c r="I442" s="86"/>
      <c r="J442" s="86"/>
      <c r="K442" s="63"/>
      <c r="L442" s="64">
        <f>L458</f>
        <v>1946.54</v>
      </c>
      <c r="M442" s="64">
        <f>ROUND(L442,2)</f>
        <v>1946.54</v>
      </c>
    </row>
    <row r="443" spans="1:13" ht="15.45" customHeight="1" thickBot="1" x14ac:dyDescent="0.35">
      <c r="A443" s="20" t="s">
        <v>1415</v>
      </c>
      <c r="B443" s="20" t="s">
        <v>1416</v>
      </c>
      <c r="C443" s="21"/>
      <c r="D443" s="81" t="s">
        <v>1417</v>
      </c>
      <c r="E443" s="81"/>
      <c r="F443" s="81"/>
      <c r="G443" s="81"/>
      <c r="H443" s="81"/>
      <c r="I443" s="81"/>
      <c r="J443" s="81"/>
      <c r="K443" s="21"/>
      <c r="L443" s="22">
        <f>L457</f>
        <v>1946.54</v>
      </c>
      <c r="M443" s="22">
        <f>ROUND(L443,2)</f>
        <v>1946.54</v>
      </c>
    </row>
    <row r="444" spans="1:13" ht="21.3" customHeight="1" thickBot="1" x14ac:dyDescent="0.35">
      <c r="A444" s="10" t="s">
        <v>1418</v>
      </c>
      <c r="B444" s="5" t="s">
        <v>1419</v>
      </c>
      <c r="C444" s="5" t="s">
        <v>1420</v>
      </c>
      <c r="D444" s="82" t="s">
        <v>1421</v>
      </c>
      <c r="E444" s="82"/>
      <c r="F444" s="82"/>
      <c r="G444" s="82"/>
      <c r="H444" s="82"/>
      <c r="I444" s="82"/>
      <c r="J444" s="82"/>
      <c r="K444" s="23">
        <f>SUM(K446:K446)</f>
        <v>1</v>
      </c>
      <c r="L444" s="24">
        <f>L456</f>
        <v>1946.54</v>
      </c>
      <c r="M444" s="24">
        <f>ROUND(K444*L444,2)</f>
        <v>1946.54</v>
      </c>
    </row>
    <row r="445" spans="1:13" ht="15.15" customHeight="1" thickBot="1" x14ac:dyDescent="0.35">
      <c r="A445" s="25"/>
      <c r="B445" s="25"/>
      <c r="C445" s="25"/>
      <c r="D445" s="25"/>
      <c r="E445" s="26"/>
      <c r="F445" s="28" t="s">
        <v>1422</v>
      </c>
      <c r="G445" s="28" t="s">
        <v>1423</v>
      </c>
      <c r="H445" s="28" t="s">
        <v>1424</v>
      </c>
      <c r="I445" s="28" t="s">
        <v>1425</v>
      </c>
      <c r="J445" s="28" t="s">
        <v>1426</v>
      </c>
      <c r="K445" s="28" t="s">
        <v>1427</v>
      </c>
      <c r="L445" s="25"/>
      <c r="M445" s="25"/>
    </row>
    <row r="446" spans="1:13" ht="15.15" customHeight="1" thickBot="1" x14ac:dyDescent="0.35">
      <c r="A446" s="25"/>
      <c r="B446" s="25"/>
      <c r="C446" s="25"/>
      <c r="D446" s="29"/>
      <c r="E446" s="30" t="s">
        <v>1428</v>
      </c>
      <c r="F446" s="31">
        <v>1</v>
      </c>
      <c r="G446" s="32"/>
      <c r="H446" s="32"/>
      <c r="I446" s="32"/>
      <c r="J446" s="34">
        <f>ROUND(F446,3)</f>
        <v>1</v>
      </c>
      <c r="K446" s="36">
        <f>SUM(J446:J446)</f>
        <v>1</v>
      </c>
      <c r="L446" s="25"/>
      <c r="M446" s="25"/>
    </row>
    <row r="447" spans="1:13" ht="30.6" customHeight="1" thickBot="1" x14ac:dyDescent="0.35">
      <c r="A447" s="5" t="s">
        <v>1429</v>
      </c>
      <c r="B447" s="5" t="s">
        <v>1430</v>
      </c>
      <c r="C447" s="5" t="s">
        <v>1431</v>
      </c>
      <c r="D447" s="82" t="s">
        <v>1432</v>
      </c>
      <c r="E447" s="82"/>
      <c r="F447" s="82"/>
      <c r="G447" s="82"/>
      <c r="H447" s="82"/>
      <c r="I447" s="82"/>
      <c r="J447" s="82"/>
      <c r="K447" s="23">
        <v>1</v>
      </c>
      <c r="L447" s="23">
        <f>ROUND(1215.851,3)</f>
        <v>1215.8510000000001</v>
      </c>
      <c r="M447" s="24">
        <f t="shared" ref="M447:M454" si="22">ROUND(K447*L447,2)</f>
        <v>1215.8499999999999</v>
      </c>
    </row>
    <row r="448" spans="1:13" ht="24.3" customHeight="1" thickBot="1" x14ac:dyDescent="0.35">
      <c r="A448" s="5" t="s">
        <v>1433</v>
      </c>
      <c r="B448" s="5" t="s">
        <v>1434</v>
      </c>
      <c r="C448" s="5" t="s">
        <v>1435</v>
      </c>
      <c r="D448" s="82" t="s">
        <v>1436</v>
      </c>
      <c r="E448" s="82"/>
      <c r="F448" s="82"/>
      <c r="G448" s="82"/>
      <c r="H448" s="82"/>
      <c r="I448" s="82"/>
      <c r="J448" s="82"/>
      <c r="K448" s="23">
        <v>1</v>
      </c>
      <c r="L448" s="23">
        <f>ROUND(317.658,3)</f>
        <v>317.65800000000002</v>
      </c>
      <c r="M448" s="24">
        <f t="shared" si="22"/>
        <v>317.66000000000003</v>
      </c>
    </row>
    <row r="449" spans="1:13" ht="15.15" customHeight="1" thickBot="1" x14ac:dyDescent="0.35">
      <c r="A449" s="5" t="s">
        <v>1437</v>
      </c>
      <c r="B449" s="5" t="s">
        <v>1438</v>
      </c>
      <c r="C449" s="5" t="s">
        <v>1439</v>
      </c>
      <c r="D449" s="82" t="s">
        <v>1440</v>
      </c>
      <c r="E449" s="82"/>
      <c r="F449" s="82"/>
      <c r="G449" s="82"/>
      <c r="H449" s="82"/>
      <c r="I449" s="82"/>
      <c r="J449" s="82"/>
      <c r="K449" s="23">
        <v>1</v>
      </c>
      <c r="L449" s="23">
        <f>ROUND(161.475,3)</f>
        <v>161.47499999999999</v>
      </c>
      <c r="M449" s="24">
        <f t="shared" si="22"/>
        <v>161.47999999999999</v>
      </c>
    </row>
    <row r="450" spans="1:13" ht="15.15" customHeight="1" thickBot="1" x14ac:dyDescent="0.35">
      <c r="A450" s="5" t="s">
        <v>1441</v>
      </c>
      <c r="B450" s="5" t="s">
        <v>1442</v>
      </c>
      <c r="C450" s="5" t="s">
        <v>1443</v>
      </c>
      <c r="D450" s="82" t="s">
        <v>1444</v>
      </c>
      <c r="E450" s="82"/>
      <c r="F450" s="82"/>
      <c r="G450" s="82"/>
      <c r="H450" s="82"/>
      <c r="I450" s="82"/>
      <c r="J450" s="82"/>
      <c r="K450" s="23">
        <v>0.441</v>
      </c>
      <c r="L450" s="23">
        <f>ROUND(30,3)</f>
        <v>30</v>
      </c>
      <c r="M450" s="24">
        <f t="shared" si="22"/>
        <v>13.23</v>
      </c>
    </row>
    <row r="451" spans="1:13" ht="15.15" customHeight="1" thickBot="1" x14ac:dyDescent="0.35">
      <c r="A451" s="5" t="s">
        <v>1445</v>
      </c>
      <c r="B451" s="5" t="s">
        <v>1446</v>
      </c>
      <c r="C451" s="5" t="s">
        <v>1447</v>
      </c>
      <c r="D451" s="82" t="s">
        <v>1448</v>
      </c>
      <c r="E451" s="82"/>
      <c r="F451" s="82"/>
      <c r="G451" s="82"/>
      <c r="H451" s="82"/>
      <c r="I451" s="82"/>
      <c r="J451" s="82"/>
      <c r="K451" s="23">
        <v>0.441</v>
      </c>
      <c r="L451" s="23">
        <f>ROUND(21,3)</f>
        <v>21</v>
      </c>
      <c r="M451" s="24">
        <f t="shared" si="22"/>
        <v>9.26</v>
      </c>
    </row>
    <row r="452" spans="1:13" ht="15.15" customHeight="1" thickBot="1" x14ac:dyDescent="0.35">
      <c r="A452" s="5" t="s">
        <v>1449</v>
      </c>
      <c r="B452" s="5" t="s">
        <v>1450</v>
      </c>
      <c r="C452" s="5" t="s">
        <v>1451</v>
      </c>
      <c r="D452" s="82" t="s">
        <v>1452</v>
      </c>
      <c r="E452" s="82"/>
      <c r="F452" s="82"/>
      <c r="G452" s="82"/>
      <c r="H452" s="82"/>
      <c r="I452" s="82"/>
      <c r="J452" s="82"/>
      <c r="K452" s="23">
        <v>1.028</v>
      </c>
      <c r="L452" s="23">
        <f>ROUND(24.42,3)</f>
        <v>24.42</v>
      </c>
      <c r="M452" s="24">
        <f t="shared" si="22"/>
        <v>25.1</v>
      </c>
    </row>
    <row r="453" spans="1:13" ht="15.15" customHeight="1" thickBot="1" x14ac:dyDescent="0.35">
      <c r="A453" s="5" t="s">
        <v>1453</v>
      </c>
      <c r="B453" s="5" t="s">
        <v>1454</v>
      </c>
      <c r="C453" s="5" t="s">
        <v>1455</v>
      </c>
      <c r="D453" s="82" t="s">
        <v>1456</v>
      </c>
      <c r="E453" s="82"/>
      <c r="F453" s="82"/>
      <c r="G453" s="82"/>
      <c r="H453" s="82"/>
      <c r="I453" s="82"/>
      <c r="J453" s="82"/>
      <c r="K453" s="23">
        <v>1.028</v>
      </c>
      <c r="L453" s="23">
        <f>ROUND(21.58,3)</f>
        <v>21.58</v>
      </c>
      <c r="M453" s="24">
        <f t="shared" si="22"/>
        <v>22.18</v>
      </c>
    </row>
    <row r="454" spans="1:13" ht="15.15" customHeight="1" thickBot="1" x14ac:dyDescent="0.35">
      <c r="A454" s="5" t="s">
        <v>1457</v>
      </c>
      <c r="B454" s="5" t="s">
        <v>1458</v>
      </c>
      <c r="C454" s="5" t="s">
        <v>1459</v>
      </c>
      <c r="D454" s="82" t="s">
        <v>1460</v>
      </c>
      <c r="E454" s="82"/>
      <c r="F454" s="82"/>
      <c r="G454" s="82"/>
      <c r="H454" s="82"/>
      <c r="I454" s="82"/>
      <c r="J454" s="82"/>
      <c r="K454" s="23">
        <v>2.9340000000000002</v>
      </c>
      <c r="L454" s="23">
        <f>ROUND(30,3)</f>
        <v>30</v>
      </c>
      <c r="M454" s="24">
        <f t="shared" si="22"/>
        <v>88.02</v>
      </c>
    </row>
    <row r="455" spans="1:13" ht="15.15" customHeight="1" thickBot="1" x14ac:dyDescent="0.35">
      <c r="A455" s="5" t="s">
        <v>1461</v>
      </c>
      <c r="B455" s="5"/>
      <c r="C455" s="5" t="s">
        <v>1462</v>
      </c>
      <c r="D455" s="82" t="s">
        <v>1463</v>
      </c>
      <c r="E455" s="82"/>
      <c r="F455" s="82"/>
      <c r="G455" s="82"/>
      <c r="H455" s="82"/>
      <c r="I455" s="82"/>
      <c r="J455" s="82"/>
      <c r="K455" s="23">
        <v>2</v>
      </c>
      <c r="L455" s="23">
        <f>ROUND(1852.78,3)</f>
        <v>1852.78</v>
      </c>
      <c r="M455" s="24">
        <f>ROUND((K455*L455)/100,2)</f>
        <v>37.06</v>
      </c>
    </row>
    <row r="456" spans="1:13" ht="15.45" customHeight="1" thickBot="1" x14ac:dyDescent="0.35">
      <c r="A456" s="37"/>
      <c r="B456" s="37"/>
      <c r="C456" s="37"/>
      <c r="D456" s="38" t="s">
        <v>1464</v>
      </c>
      <c r="E456" s="37"/>
      <c r="F456" s="37"/>
      <c r="G456" s="37"/>
      <c r="H456" s="37"/>
      <c r="I456" s="37"/>
      <c r="J456" s="37"/>
      <c r="K456" s="39">
        <v>1</v>
      </c>
      <c r="L456" s="40">
        <f>ROUND((M447+M448+M449+M450+M451+M452+M453+M454+M455)*(1+M2/100),2)</f>
        <v>1946.54</v>
      </c>
      <c r="M456" s="40">
        <f>ROUND(K456*L456,2)</f>
        <v>1946.54</v>
      </c>
    </row>
    <row r="457" spans="1:13" ht="15.45" customHeight="1" thickBot="1" x14ac:dyDescent="0.35">
      <c r="A457" s="41"/>
      <c r="B457" s="41"/>
      <c r="C457" s="41"/>
      <c r="D457" s="42" t="s">
        <v>1465</v>
      </c>
      <c r="E457" s="43"/>
      <c r="F457" s="43"/>
      <c r="G457" s="43"/>
      <c r="H457" s="43"/>
      <c r="I457" s="43"/>
      <c r="J457" s="43"/>
      <c r="K457" s="43"/>
      <c r="L457" s="44">
        <f>M444</f>
        <v>1946.54</v>
      </c>
      <c r="M457" s="44">
        <f>ROUND(L457,2)</f>
        <v>1946.54</v>
      </c>
    </row>
    <row r="458" spans="1:13" ht="15.45" customHeight="1" thickBot="1" x14ac:dyDescent="0.35">
      <c r="A458" s="41"/>
      <c r="B458" s="41"/>
      <c r="C458" s="41"/>
      <c r="D458" s="45" t="s">
        <v>1466</v>
      </c>
      <c r="E458" s="46"/>
      <c r="F458" s="46"/>
      <c r="G458" s="46"/>
      <c r="H458" s="46"/>
      <c r="I458" s="46"/>
      <c r="J458" s="46"/>
      <c r="K458" s="46"/>
      <c r="L458" s="47">
        <f>M457</f>
        <v>1946.54</v>
      </c>
      <c r="M458" s="47">
        <f>ROUND(L458,2)</f>
        <v>1946.54</v>
      </c>
    </row>
    <row r="459" spans="1:13" ht="15.45" customHeight="1" thickBot="1" x14ac:dyDescent="0.35">
      <c r="A459" s="62" t="s">
        <v>1467</v>
      </c>
      <c r="B459" s="62" t="s">
        <v>1468</v>
      </c>
      <c r="C459" s="63"/>
      <c r="D459" s="86" t="s">
        <v>1469</v>
      </c>
      <c r="E459" s="86"/>
      <c r="F459" s="86"/>
      <c r="G459" s="86"/>
      <c r="H459" s="86"/>
      <c r="I459" s="86"/>
      <c r="J459" s="86"/>
      <c r="K459" s="63"/>
      <c r="L459" s="64">
        <f>L472</f>
        <v>560.29999999999995</v>
      </c>
      <c r="M459" s="64">
        <f>ROUND(L459,2)</f>
        <v>560.29999999999995</v>
      </c>
    </row>
    <row r="460" spans="1:13" ht="15.45" customHeight="1" thickBot="1" x14ac:dyDescent="0.35">
      <c r="A460" s="20" t="s">
        <v>1470</v>
      </c>
      <c r="B460" s="20" t="s">
        <v>1471</v>
      </c>
      <c r="C460" s="21"/>
      <c r="D460" s="81" t="s">
        <v>1472</v>
      </c>
      <c r="E460" s="81"/>
      <c r="F460" s="81"/>
      <c r="G460" s="81"/>
      <c r="H460" s="81"/>
      <c r="I460" s="81"/>
      <c r="J460" s="81"/>
      <c r="K460" s="21"/>
      <c r="L460" s="22">
        <f>L471</f>
        <v>560.29999999999995</v>
      </c>
      <c r="M460" s="22">
        <f>ROUND(L460,2)</f>
        <v>560.29999999999995</v>
      </c>
    </row>
    <row r="461" spans="1:13" ht="39.75" customHeight="1" thickBot="1" x14ac:dyDescent="0.35">
      <c r="A461" s="10" t="s">
        <v>1473</v>
      </c>
      <c r="B461" s="5" t="s">
        <v>1474</v>
      </c>
      <c r="C461" s="5" t="s">
        <v>1475</v>
      </c>
      <c r="D461" s="82" t="s">
        <v>1476</v>
      </c>
      <c r="E461" s="82"/>
      <c r="F461" s="82"/>
      <c r="G461" s="82"/>
      <c r="H461" s="82"/>
      <c r="I461" s="82"/>
      <c r="J461" s="82"/>
      <c r="K461" s="23">
        <f>SUM(K463:K463)</f>
        <v>13.56</v>
      </c>
      <c r="L461" s="24">
        <f>L470</f>
        <v>41.32</v>
      </c>
      <c r="M461" s="24">
        <f>ROUND(K461*L461,2)</f>
        <v>560.29999999999995</v>
      </c>
    </row>
    <row r="462" spans="1:13" ht="15.15" customHeight="1" thickBot="1" x14ac:dyDescent="0.35">
      <c r="A462" s="25"/>
      <c r="B462" s="25"/>
      <c r="C462" s="25"/>
      <c r="D462" s="25"/>
      <c r="E462" s="26"/>
      <c r="F462" s="28" t="s">
        <v>1477</v>
      </c>
      <c r="G462" s="28" t="s">
        <v>1478</v>
      </c>
      <c r="H462" s="28" t="s">
        <v>1479</v>
      </c>
      <c r="I462" s="28" t="s">
        <v>1480</v>
      </c>
      <c r="J462" s="28" t="s">
        <v>1481</v>
      </c>
      <c r="K462" s="28" t="s">
        <v>1482</v>
      </c>
      <c r="L462" s="25"/>
      <c r="M462" s="25"/>
    </row>
    <row r="463" spans="1:13" ht="15.15" customHeight="1" thickBot="1" x14ac:dyDescent="0.35">
      <c r="A463" s="25"/>
      <c r="B463" s="25"/>
      <c r="C463" s="25"/>
      <c r="D463" s="29"/>
      <c r="E463" s="30" t="s">
        <v>1483</v>
      </c>
      <c r="F463" s="31">
        <v>6</v>
      </c>
      <c r="G463" s="32"/>
      <c r="H463" s="32"/>
      <c r="I463" s="32">
        <v>2.2599999999999998</v>
      </c>
      <c r="J463" s="34">
        <f>ROUND(F463*I463,3)</f>
        <v>13.56</v>
      </c>
      <c r="K463" s="36">
        <f>SUM(J463:J463)</f>
        <v>13.56</v>
      </c>
      <c r="L463" s="25"/>
      <c r="M463" s="25"/>
    </row>
    <row r="464" spans="1:13" ht="30.6" customHeight="1" thickBot="1" x14ac:dyDescent="0.35">
      <c r="A464" s="5" t="s">
        <v>1484</v>
      </c>
      <c r="B464" s="5" t="s">
        <v>1485</v>
      </c>
      <c r="C464" s="5" t="s">
        <v>1486</v>
      </c>
      <c r="D464" s="82" t="s">
        <v>1487</v>
      </c>
      <c r="E464" s="82"/>
      <c r="F464" s="82"/>
      <c r="G464" s="82"/>
      <c r="H464" s="82"/>
      <c r="I464" s="82"/>
      <c r="J464" s="82"/>
      <c r="K464" s="23">
        <v>1.006</v>
      </c>
      <c r="L464" s="23">
        <f>ROUND(26.476,3)</f>
        <v>26.475999999999999</v>
      </c>
      <c r="M464" s="24">
        <f>ROUND(K464*L464,2)</f>
        <v>26.63</v>
      </c>
    </row>
    <row r="465" spans="1:13" ht="21.3" customHeight="1" thickBot="1" x14ac:dyDescent="0.35">
      <c r="A465" s="5" t="s">
        <v>1488</v>
      </c>
      <c r="B465" s="5" t="s">
        <v>1489</v>
      </c>
      <c r="C465" s="5" t="s">
        <v>1490</v>
      </c>
      <c r="D465" s="82" t="s">
        <v>1491</v>
      </c>
      <c r="E465" s="82"/>
      <c r="F465" s="82"/>
      <c r="G465" s="82"/>
      <c r="H465" s="82"/>
      <c r="I465" s="82"/>
      <c r="J465" s="82"/>
      <c r="K465" s="23">
        <v>0.57999999999999996</v>
      </c>
      <c r="L465" s="23">
        <f>ROUND(3.402,3)</f>
        <v>3.4020000000000001</v>
      </c>
      <c r="M465" s="24">
        <f>ROUND(K465*L465,2)</f>
        <v>1.97</v>
      </c>
    </row>
    <row r="466" spans="1:13" ht="15.15" customHeight="1" thickBot="1" x14ac:dyDescent="0.35">
      <c r="A466" s="5" t="s">
        <v>1492</v>
      </c>
      <c r="B466" s="5" t="s">
        <v>1493</v>
      </c>
      <c r="C466" s="5" t="s">
        <v>1494</v>
      </c>
      <c r="D466" s="82" t="s">
        <v>1495</v>
      </c>
      <c r="E466" s="82"/>
      <c r="F466" s="82"/>
      <c r="G466" s="82"/>
      <c r="H466" s="82"/>
      <c r="I466" s="82"/>
      <c r="J466" s="82"/>
      <c r="K466" s="23">
        <v>1</v>
      </c>
      <c r="L466" s="23">
        <f>ROUND(0.861,3)</f>
        <v>0.86099999999999999</v>
      </c>
      <c r="M466" s="24">
        <f>ROUND(K466*L466,2)</f>
        <v>0.86</v>
      </c>
    </row>
    <row r="467" spans="1:13" ht="15.15" customHeight="1" thickBot="1" x14ac:dyDescent="0.35">
      <c r="A467" s="5" t="s">
        <v>1496</v>
      </c>
      <c r="B467" s="5" t="s">
        <v>1497</v>
      </c>
      <c r="C467" s="5" t="s">
        <v>1498</v>
      </c>
      <c r="D467" s="82" t="s">
        <v>1499</v>
      </c>
      <c r="E467" s="82"/>
      <c r="F467" s="82"/>
      <c r="G467" s="82"/>
      <c r="H467" s="82"/>
      <c r="I467" s="82"/>
      <c r="J467" s="82"/>
      <c r="K467" s="23">
        <v>0.20100000000000001</v>
      </c>
      <c r="L467" s="23">
        <f>ROUND(25.91,3)</f>
        <v>25.91</v>
      </c>
      <c r="M467" s="24">
        <f>ROUND(K467*L467,2)</f>
        <v>5.21</v>
      </c>
    </row>
    <row r="468" spans="1:13" ht="15.15" customHeight="1" thickBot="1" x14ac:dyDescent="0.35">
      <c r="A468" s="5" t="s">
        <v>1500</v>
      </c>
      <c r="B468" s="5" t="s">
        <v>1501</v>
      </c>
      <c r="C468" s="5" t="s">
        <v>1502</v>
      </c>
      <c r="D468" s="82" t="s">
        <v>1503</v>
      </c>
      <c r="E468" s="82"/>
      <c r="F468" s="82"/>
      <c r="G468" s="82"/>
      <c r="H468" s="82"/>
      <c r="I468" s="82"/>
      <c r="J468" s="82"/>
      <c r="K468" s="23">
        <v>0.20100000000000001</v>
      </c>
      <c r="L468" s="23">
        <f>ROUND(23.18,3)</f>
        <v>23.18</v>
      </c>
      <c r="M468" s="24">
        <f>ROUND(K468*L468,2)</f>
        <v>4.66</v>
      </c>
    </row>
    <row r="469" spans="1:13" ht="15.15" customHeight="1" thickBot="1" x14ac:dyDescent="0.35">
      <c r="A469" s="5" t="s">
        <v>1504</v>
      </c>
      <c r="B469" s="5"/>
      <c r="C469" s="5" t="s">
        <v>1505</v>
      </c>
      <c r="D469" s="82" t="s">
        <v>1506</v>
      </c>
      <c r="E469" s="82"/>
      <c r="F469" s="82"/>
      <c r="G469" s="82"/>
      <c r="H469" s="82"/>
      <c r="I469" s="82"/>
      <c r="J469" s="82"/>
      <c r="K469" s="23">
        <v>2</v>
      </c>
      <c r="L469" s="23">
        <f>ROUND(39.33,3)</f>
        <v>39.33</v>
      </c>
      <c r="M469" s="24">
        <f>ROUND((K469*L469)/100,2)</f>
        <v>0.79</v>
      </c>
    </row>
    <row r="470" spans="1:13" ht="15.45" customHeight="1" thickBot="1" x14ac:dyDescent="0.35">
      <c r="A470" s="37"/>
      <c r="B470" s="37"/>
      <c r="C470" s="37"/>
      <c r="D470" s="38" t="s">
        <v>1507</v>
      </c>
      <c r="E470" s="37"/>
      <c r="F470" s="37"/>
      <c r="G470" s="37"/>
      <c r="H470" s="37"/>
      <c r="I470" s="37"/>
      <c r="J470" s="37"/>
      <c r="K470" s="39">
        <v>13.56</v>
      </c>
      <c r="L470" s="40">
        <f>ROUND((M464+M465+M466+M467+M468+M469)*(1+M2/100),2)</f>
        <v>41.32</v>
      </c>
      <c r="M470" s="40">
        <f>ROUND(K470*L470,2)</f>
        <v>560.29999999999995</v>
      </c>
    </row>
    <row r="471" spans="1:13" ht="15.45" customHeight="1" thickBot="1" x14ac:dyDescent="0.35">
      <c r="A471" s="41"/>
      <c r="B471" s="41"/>
      <c r="C471" s="41"/>
      <c r="D471" s="42" t="s">
        <v>1508</v>
      </c>
      <c r="E471" s="43"/>
      <c r="F471" s="43"/>
      <c r="G471" s="43"/>
      <c r="H471" s="43"/>
      <c r="I471" s="43"/>
      <c r="J471" s="43"/>
      <c r="K471" s="43"/>
      <c r="L471" s="44">
        <f>M461</f>
        <v>560.29999999999995</v>
      </c>
      <c r="M471" s="44">
        <f t="shared" ref="M471:M476" si="23">ROUND(L471,2)</f>
        <v>560.29999999999995</v>
      </c>
    </row>
    <row r="472" spans="1:13" ht="15.45" customHeight="1" thickBot="1" x14ac:dyDescent="0.35">
      <c r="A472" s="41"/>
      <c r="B472" s="41"/>
      <c r="C472" s="41"/>
      <c r="D472" s="45" t="s">
        <v>1509</v>
      </c>
      <c r="E472" s="46"/>
      <c r="F472" s="46"/>
      <c r="G472" s="46"/>
      <c r="H472" s="46"/>
      <c r="I472" s="46"/>
      <c r="J472" s="46"/>
      <c r="K472" s="46"/>
      <c r="L472" s="47">
        <f>M471</f>
        <v>560.29999999999995</v>
      </c>
      <c r="M472" s="47">
        <f t="shared" si="23"/>
        <v>560.29999999999995</v>
      </c>
    </row>
    <row r="473" spans="1:13" ht="15.45" customHeight="1" thickBot="1" x14ac:dyDescent="0.35">
      <c r="A473" s="41"/>
      <c r="B473" s="41"/>
      <c r="C473" s="41"/>
      <c r="D473" s="48" t="s">
        <v>1510</v>
      </c>
      <c r="E473" s="49"/>
      <c r="F473" s="49"/>
      <c r="G473" s="49"/>
      <c r="H473" s="49"/>
      <c r="I473" s="49"/>
      <c r="J473" s="49"/>
      <c r="K473" s="49"/>
      <c r="L473" s="50">
        <f>M424+M441+M458+M472</f>
        <v>4705.55</v>
      </c>
      <c r="M473" s="50">
        <f t="shared" si="23"/>
        <v>4705.55</v>
      </c>
    </row>
    <row r="474" spans="1:13" ht="15.45" customHeight="1" thickBot="1" x14ac:dyDescent="0.35">
      <c r="A474" s="51" t="s">
        <v>1511</v>
      </c>
      <c r="B474" s="51" t="s">
        <v>1512</v>
      </c>
      <c r="C474" s="52"/>
      <c r="D474" s="83" t="s">
        <v>1513</v>
      </c>
      <c r="E474" s="83"/>
      <c r="F474" s="83"/>
      <c r="G474" s="83"/>
      <c r="H474" s="83"/>
      <c r="I474" s="83"/>
      <c r="J474" s="83"/>
      <c r="K474" s="52"/>
      <c r="L474" s="53">
        <f>L491</f>
        <v>279</v>
      </c>
      <c r="M474" s="53">
        <f t="shared" si="23"/>
        <v>279</v>
      </c>
    </row>
    <row r="475" spans="1:13" ht="15.45" customHeight="1" thickBot="1" x14ac:dyDescent="0.35">
      <c r="A475" s="17" t="s">
        <v>1514</v>
      </c>
      <c r="B475" s="17" t="s">
        <v>1515</v>
      </c>
      <c r="C475" s="18"/>
      <c r="D475" s="80" t="s">
        <v>1516</v>
      </c>
      <c r="E475" s="80"/>
      <c r="F475" s="80"/>
      <c r="G475" s="80"/>
      <c r="H475" s="80"/>
      <c r="I475" s="80"/>
      <c r="J475" s="80"/>
      <c r="K475" s="18"/>
      <c r="L475" s="19">
        <f>L490</f>
        <v>279</v>
      </c>
      <c r="M475" s="19">
        <f t="shared" si="23"/>
        <v>279</v>
      </c>
    </row>
    <row r="476" spans="1:13" ht="15.45" customHeight="1" thickBot="1" x14ac:dyDescent="0.35">
      <c r="A476" s="20" t="s">
        <v>1517</v>
      </c>
      <c r="B476" s="20" t="s">
        <v>1518</v>
      </c>
      <c r="C476" s="21"/>
      <c r="D476" s="81" t="s">
        <v>1519</v>
      </c>
      <c r="E476" s="81"/>
      <c r="F476" s="81"/>
      <c r="G476" s="81"/>
      <c r="H476" s="81"/>
      <c r="I476" s="81"/>
      <c r="J476" s="81"/>
      <c r="K476" s="21"/>
      <c r="L476" s="22">
        <f>L489</f>
        <v>279</v>
      </c>
      <c r="M476" s="22">
        <f t="shared" si="23"/>
        <v>279</v>
      </c>
    </row>
    <row r="477" spans="1:13" ht="49.05" customHeight="1" thickBot="1" x14ac:dyDescent="0.35">
      <c r="A477" s="10" t="s">
        <v>1520</v>
      </c>
      <c r="B477" s="5" t="s">
        <v>1521</v>
      </c>
      <c r="C477" s="5" t="s">
        <v>1522</v>
      </c>
      <c r="D477" s="82" t="s">
        <v>1523</v>
      </c>
      <c r="E477" s="82"/>
      <c r="F477" s="82"/>
      <c r="G477" s="82"/>
      <c r="H477" s="82"/>
      <c r="I477" s="82"/>
      <c r="J477" s="82"/>
      <c r="K477" s="23">
        <f>SUM(K479:K479)</f>
        <v>15</v>
      </c>
      <c r="L477" s="24">
        <f>L488</f>
        <v>18.600000000000001</v>
      </c>
      <c r="M477" s="24">
        <f>ROUND(K477*L477,2)</f>
        <v>279</v>
      </c>
    </row>
    <row r="478" spans="1:13" ht="15.15" customHeight="1" thickBot="1" x14ac:dyDescent="0.35">
      <c r="A478" s="25"/>
      <c r="B478" s="25"/>
      <c r="C478" s="25"/>
      <c r="D478" s="25"/>
      <c r="E478" s="26"/>
      <c r="F478" s="28" t="s">
        <v>1524</v>
      </c>
      <c r="G478" s="28" t="s">
        <v>1525</v>
      </c>
      <c r="H478" s="28" t="s">
        <v>1526</v>
      </c>
      <c r="I478" s="28" t="s">
        <v>1527</v>
      </c>
      <c r="J478" s="28" t="s">
        <v>1528</v>
      </c>
      <c r="K478" s="28" t="s">
        <v>1529</v>
      </c>
      <c r="L478" s="25"/>
      <c r="M478" s="25"/>
    </row>
    <row r="479" spans="1:13" ht="15.15" customHeight="1" thickBot="1" x14ac:dyDescent="0.35">
      <c r="A479" s="25"/>
      <c r="B479" s="25"/>
      <c r="C479" s="25"/>
      <c r="D479" s="29"/>
      <c r="E479" s="30" t="s">
        <v>1530</v>
      </c>
      <c r="F479" s="31">
        <v>6</v>
      </c>
      <c r="G479" s="32">
        <v>2.5</v>
      </c>
      <c r="H479" s="32"/>
      <c r="I479" s="32"/>
      <c r="J479" s="34">
        <f>ROUND(F479*G479,3)</f>
        <v>15</v>
      </c>
      <c r="K479" s="36">
        <f>SUM(J479:J479)</f>
        <v>15</v>
      </c>
      <c r="L479" s="25"/>
      <c r="M479" s="25"/>
    </row>
    <row r="480" spans="1:13" ht="15.15" customHeight="1" thickBot="1" x14ac:dyDescent="0.35">
      <c r="A480" s="5" t="s">
        <v>1531</v>
      </c>
      <c r="B480" s="5" t="s">
        <v>1532</v>
      </c>
      <c r="C480" s="5" t="s">
        <v>1533</v>
      </c>
      <c r="D480" s="82" t="s">
        <v>1534</v>
      </c>
      <c r="E480" s="82"/>
      <c r="F480" s="82"/>
      <c r="G480" s="82"/>
      <c r="H480" s="82"/>
      <c r="I480" s="82"/>
      <c r="J480" s="82"/>
      <c r="K480" s="23">
        <v>6.0000000000000001E-3</v>
      </c>
      <c r="L480" s="23">
        <f>ROUND(0.99,3)</f>
        <v>0.99</v>
      </c>
      <c r="M480" s="24">
        <f t="shared" ref="M480:M486" si="24">ROUND(K480*L480,2)</f>
        <v>0.01</v>
      </c>
    </row>
    <row r="481" spans="1:13" ht="21.3" customHeight="1" thickBot="1" x14ac:dyDescent="0.35">
      <c r="A481" s="5" t="s">
        <v>1535</v>
      </c>
      <c r="B481" s="5" t="s">
        <v>1536</v>
      </c>
      <c r="C481" s="5" t="s">
        <v>1537</v>
      </c>
      <c r="D481" s="82" t="s">
        <v>1538</v>
      </c>
      <c r="E481" s="82"/>
      <c r="F481" s="82"/>
      <c r="G481" s="82"/>
      <c r="H481" s="82"/>
      <c r="I481" s="82"/>
      <c r="J481" s="82"/>
      <c r="K481" s="23">
        <v>1.2E-2</v>
      </c>
      <c r="L481" s="23">
        <f>ROUND(34.931,3)</f>
        <v>34.930999999999997</v>
      </c>
      <c r="M481" s="24">
        <f t="shared" si="24"/>
        <v>0.42</v>
      </c>
    </row>
    <row r="482" spans="1:13" ht="21.3" customHeight="1" thickBot="1" x14ac:dyDescent="0.35">
      <c r="A482" s="5" t="s">
        <v>1539</v>
      </c>
      <c r="B482" s="5" t="s">
        <v>1540</v>
      </c>
      <c r="C482" s="5" t="s">
        <v>1541</v>
      </c>
      <c r="D482" s="82" t="s">
        <v>1542</v>
      </c>
      <c r="E482" s="82"/>
      <c r="F482" s="82"/>
      <c r="G482" s="82"/>
      <c r="H482" s="82"/>
      <c r="I482" s="82"/>
      <c r="J482" s="82"/>
      <c r="K482" s="23">
        <v>1.05</v>
      </c>
      <c r="L482" s="23">
        <f>ROUND(6.835,3)</f>
        <v>6.835</v>
      </c>
      <c r="M482" s="24">
        <f t="shared" si="24"/>
        <v>7.18</v>
      </c>
    </row>
    <row r="483" spans="1:13" ht="15.15" customHeight="1" thickBot="1" x14ac:dyDescent="0.35">
      <c r="A483" s="5" t="s">
        <v>1543</v>
      </c>
      <c r="B483" s="5" t="s">
        <v>1544</v>
      </c>
      <c r="C483" s="5" t="s">
        <v>1545</v>
      </c>
      <c r="D483" s="82" t="s">
        <v>1546</v>
      </c>
      <c r="E483" s="82"/>
      <c r="F483" s="82"/>
      <c r="G483" s="82"/>
      <c r="H483" s="82"/>
      <c r="I483" s="82"/>
      <c r="J483" s="82"/>
      <c r="K483" s="23">
        <v>3.7999999999999999E-2</v>
      </c>
      <c r="L483" s="23">
        <f>ROUND(1.307,3)</f>
        <v>1.3069999999999999</v>
      </c>
      <c r="M483" s="24">
        <f t="shared" si="24"/>
        <v>0.05</v>
      </c>
    </row>
    <row r="484" spans="1:13" ht="21.3" customHeight="1" thickBot="1" x14ac:dyDescent="0.35">
      <c r="A484" s="5" t="s">
        <v>1547</v>
      </c>
      <c r="B484" s="5" t="s">
        <v>1548</v>
      </c>
      <c r="C484" s="5" t="s">
        <v>1549</v>
      </c>
      <c r="D484" s="82" t="s">
        <v>1550</v>
      </c>
      <c r="E484" s="82"/>
      <c r="F484" s="82"/>
      <c r="G484" s="82"/>
      <c r="H484" s="82"/>
      <c r="I484" s="82"/>
      <c r="J484" s="82"/>
      <c r="K484" s="23">
        <v>0.625</v>
      </c>
      <c r="L484" s="23">
        <f>ROUND(5.248,3)</f>
        <v>5.2480000000000002</v>
      </c>
      <c r="M484" s="24">
        <f t="shared" si="24"/>
        <v>3.28</v>
      </c>
    </row>
    <row r="485" spans="1:13" ht="15.15" customHeight="1" thickBot="1" x14ac:dyDescent="0.35">
      <c r="A485" s="5" t="s">
        <v>1551</v>
      </c>
      <c r="B485" s="5" t="s">
        <v>1552</v>
      </c>
      <c r="C485" s="5" t="s">
        <v>1553</v>
      </c>
      <c r="D485" s="82" t="s">
        <v>1554</v>
      </c>
      <c r="E485" s="82"/>
      <c r="F485" s="82"/>
      <c r="G485" s="82"/>
      <c r="H485" s="82"/>
      <c r="I485" s="82"/>
      <c r="J485" s="82"/>
      <c r="K485" s="23">
        <v>0.125</v>
      </c>
      <c r="L485" s="23">
        <f>ROUND(30,3)</f>
        <v>30</v>
      </c>
      <c r="M485" s="24">
        <f t="shared" si="24"/>
        <v>3.75</v>
      </c>
    </row>
    <row r="486" spans="1:13" ht="15.15" customHeight="1" thickBot="1" x14ac:dyDescent="0.35">
      <c r="A486" s="5" t="s">
        <v>1555</v>
      </c>
      <c r="B486" s="5" t="s">
        <v>1556</v>
      </c>
      <c r="C486" s="5" t="s">
        <v>1557</v>
      </c>
      <c r="D486" s="82" t="s">
        <v>1558</v>
      </c>
      <c r="E486" s="82"/>
      <c r="F486" s="82"/>
      <c r="G486" s="82"/>
      <c r="H486" s="82"/>
      <c r="I486" s="82"/>
      <c r="J486" s="82"/>
      <c r="K486" s="23">
        <v>0.14399999999999999</v>
      </c>
      <c r="L486" s="23">
        <f>ROUND(21,3)</f>
        <v>21</v>
      </c>
      <c r="M486" s="24">
        <f t="shared" si="24"/>
        <v>3.02</v>
      </c>
    </row>
    <row r="487" spans="1:13" ht="15.15" customHeight="1" thickBot="1" x14ac:dyDescent="0.35">
      <c r="A487" s="5" t="s">
        <v>1559</v>
      </c>
      <c r="B487" s="5"/>
      <c r="C487" s="5" t="s">
        <v>1560</v>
      </c>
      <c r="D487" s="82" t="s">
        <v>1561</v>
      </c>
      <c r="E487" s="82"/>
      <c r="F487" s="82"/>
      <c r="G487" s="82"/>
      <c r="H487" s="82"/>
      <c r="I487" s="82"/>
      <c r="J487" s="82"/>
      <c r="K487" s="23">
        <v>2</v>
      </c>
      <c r="L487" s="23">
        <f>ROUND(17.71,3)</f>
        <v>17.71</v>
      </c>
      <c r="M487" s="24">
        <f>ROUND((K487*L487)/100,2)</f>
        <v>0.35</v>
      </c>
    </row>
    <row r="488" spans="1:13" ht="15.45" customHeight="1" thickBot="1" x14ac:dyDescent="0.35">
      <c r="A488" s="37"/>
      <c r="B488" s="37"/>
      <c r="C488" s="37"/>
      <c r="D488" s="38" t="s">
        <v>1562</v>
      </c>
      <c r="E488" s="37"/>
      <c r="F488" s="37"/>
      <c r="G488" s="37"/>
      <c r="H488" s="37"/>
      <c r="I488" s="37"/>
      <c r="J488" s="37"/>
      <c r="K488" s="39">
        <v>15</v>
      </c>
      <c r="L488" s="40">
        <f>ROUND((M480+M481+M482+M483+M484+M485+M486+M487)*(1+M2/100),2)</f>
        <v>18.600000000000001</v>
      </c>
      <c r="M488" s="40">
        <f>ROUND(K488*L488,2)</f>
        <v>279</v>
      </c>
    </row>
    <row r="489" spans="1:13" ht="15.45" customHeight="1" thickBot="1" x14ac:dyDescent="0.35">
      <c r="A489" s="41"/>
      <c r="B489" s="41"/>
      <c r="C489" s="41"/>
      <c r="D489" s="42" t="s">
        <v>1563</v>
      </c>
      <c r="E489" s="43"/>
      <c r="F489" s="43"/>
      <c r="G489" s="43"/>
      <c r="H489" s="43"/>
      <c r="I489" s="43"/>
      <c r="J489" s="43"/>
      <c r="K489" s="43"/>
      <c r="L489" s="44">
        <f>M477</f>
        <v>279</v>
      </c>
      <c r="M489" s="44">
        <f t="shared" ref="M489:M494" si="25">ROUND(L489,2)</f>
        <v>279</v>
      </c>
    </row>
    <row r="490" spans="1:13" ht="15.45" customHeight="1" thickBot="1" x14ac:dyDescent="0.35">
      <c r="A490" s="41"/>
      <c r="B490" s="41"/>
      <c r="C490" s="41"/>
      <c r="D490" s="45" t="s">
        <v>1564</v>
      </c>
      <c r="E490" s="46"/>
      <c r="F490" s="46"/>
      <c r="G490" s="46"/>
      <c r="H490" s="46"/>
      <c r="I490" s="46"/>
      <c r="J490" s="46"/>
      <c r="K490" s="46"/>
      <c r="L490" s="47">
        <f>M489</f>
        <v>279</v>
      </c>
      <c r="M490" s="47">
        <f t="shared" si="25"/>
        <v>279</v>
      </c>
    </row>
    <row r="491" spans="1:13" ht="15.45" customHeight="1" thickBot="1" x14ac:dyDescent="0.35">
      <c r="A491" s="41"/>
      <c r="B491" s="41"/>
      <c r="C491" s="41"/>
      <c r="D491" s="48" t="s">
        <v>1565</v>
      </c>
      <c r="E491" s="49"/>
      <c r="F491" s="49"/>
      <c r="G491" s="49"/>
      <c r="H491" s="49"/>
      <c r="I491" s="49"/>
      <c r="J491" s="49"/>
      <c r="K491" s="49"/>
      <c r="L491" s="50">
        <f>M490</f>
        <v>279</v>
      </c>
      <c r="M491" s="50">
        <f t="shared" si="25"/>
        <v>279</v>
      </c>
    </row>
    <row r="492" spans="1:13" ht="15.45" customHeight="1" thickBot="1" x14ac:dyDescent="0.35">
      <c r="A492" s="51" t="s">
        <v>1566</v>
      </c>
      <c r="B492" s="51" t="s">
        <v>1567</v>
      </c>
      <c r="C492" s="52"/>
      <c r="D492" s="83" t="s">
        <v>1568</v>
      </c>
      <c r="E492" s="83"/>
      <c r="F492" s="83"/>
      <c r="G492" s="83"/>
      <c r="H492" s="83"/>
      <c r="I492" s="83"/>
      <c r="J492" s="83"/>
      <c r="K492" s="52"/>
      <c r="L492" s="53">
        <f>L1053</f>
        <v>23589.550000000003</v>
      </c>
      <c r="M492" s="53">
        <f t="shared" si="25"/>
        <v>23589.55</v>
      </c>
    </row>
    <row r="493" spans="1:13" ht="15.45" customHeight="1" thickBot="1" x14ac:dyDescent="0.35">
      <c r="A493" s="17" t="s">
        <v>1569</v>
      </c>
      <c r="B493" s="17" t="s">
        <v>1570</v>
      </c>
      <c r="C493" s="18"/>
      <c r="D493" s="80" t="s">
        <v>1571</v>
      </c>
      <c r="E493" s="80"/>
      <c r="F493" s="80"/>
      <c r="G493" s="80"/>
      <c r="H493" s="80"/>
      <c r="I493" s="80"/>
      <c r="J493" s="80"/>
      <c r="K493" s="18"/>
      <c r="L493" s="19">
        <f>L777</f>
        <v>14186.79</v>
      </c>
      <c r="M493" s="19">
        <f t="shared" si="25"/>
        <v>14186.79</v>
      </c>
    </row>
    <row r="494" spans="1:13" ht="15.45" customHeight="1" thickBot="1" x14ac:dyDescent="0.35">
      <c r="A494" s="20" t="s">
        <v>1572</v>
      </c>
      <c r="B494" s="20" t="s">
        <v>1573</v>
      </c>
      <c r="C494" s="21"/>
      <c r="D494" s="81" t="s">
        <v>1574</v>
      </c>
      <c r="E494" s="81"/>
      <c r="F494" s="81"/>
      <c r="G494" s="81"/>
      <c r="H494" s="81"/>
      <c r="I494" s="81"/>
      <c r="J494" s="81"/>
      <c r="K494" s="21"/>
      <c r="L494" s="22">
        <f>L535</f>
        <v>666.36000000000013</v>
      </c>
      <c r="M494" s="22">
        <f t="shared" si="25"/>
        <v>666.36</v>
      </c>
    </row>
    <row r="495" spans="1:13" ht="25.05" customHeight="1" thickBot="1" x14ac:dyDescent="0.35">
      <c r="A495" s="10" t="s">
        <v>1575</v>
      </c>
      <c r="B495" s="5" t="s">
        <v>1576</v>
      </c>
      <c r="C495" s="5" t="s">
        <v>1577</v>
      </c>
      <c r="D495" s="82" t="s">
        <v>1578</v>
      </c>
      <c r="E495" s="82"/>
      <c r="F495" s="82"/>
      <c r="G495" s="82"/>
      <c r="H495" s="82"/>
      <c r="I495" s="82"/>
      <c r="J495" s="82"/>
      <c r="K495" s="23">
        <f>ROUND(1,2)</f>
        <v>1</v>
      </c>
      <c r="L495" s="24">
        <f>L499</f>
        <v>429.16</v>
      </c>
      <c r="M495" s="24">
        <f t="shared" ref="M495:M508" si="26">ROUND(K495*L495,2)</f>
        <v>429.16</v>
      </c>
    </row>
    <row r="496" spans="1:13" ht="15.15" customHeight="1" thickBot="1" x14ac:dyDescent="0.35">
      <c r="A496" s="5" t="s">
        <v>1579</v>
      </c>
      <c r="B496" s="5" t="s">
        <v>1580</v>
      </c>
      <c r="C496" s="5"/>
      <c r="D496" s="82" t="s">
        <v>1581</v>
      </c>
      <c r="E496" s="82"/>
      <c r="F496" s="82"/>
      <c r="G496" s="82"/>
      <c r="H496" s="82"/>
      <c r="I496" s="82"/>
      <c r="J496" s="82"/>
      <c r="K496" s="23">
        <v>1</v>
      </c>
      <c r="L496" s="23">
        <f>ROUND(254.135,3)</f>
        <v>254.13499999999999</v>
      </c>
      <c r="M496" s="24">
        <f t="shared" si="26"/>
        <v>254.14</v>
      </c>
    </row>
    <row r="497" spans="1:13" ht="15.15" customHeight="1" thickBot="1" x14ac:dyDescent="0.35">
      <c r="A497" s="5" t="s">
        <v>1582</v>
      </c>
      <c r="B497" s="5" t="s">
        <v>1583</v>
      </c>
      <c r="C497" s="5" t="s">
        <v>1584</v>
      </c>
      <c r="D497" s="82" t="s">
        <v>1585</v>
      </c>
      <c r="E497" s="82"/>
      <c r="F497" s="82"/>
      <c r="G497" s="82"/>
      <c r="H497" s="82"/>
      <c r="I497" s="82"/>
      <c r="J497" s="82"/>
      <c r="K497" s="23">
        <v>3.137</v>
      </c>
      <c r="L497" s="23">
        <f>ROUND(22,3)</f>
        <v>22</v>
      </c>
      <c r="M497" s="24">
        <f t="shared" si="26"/>
        <v>69.010000000000005</v>
      </c>
    </row>
    <row r="498" spans="1:13" ht="15.15" customHeight="1" thickBot="1" x14ac:dyDescent="0.35">
      <c r="A498" s="5" t="s">
        <v>1586</v>
      </c>
      <c r="B498" s="5" t="s">
        <v>1587</v>
      </c>
      <c r="C498" s="5" t="s">
        <v>1588</v>
      </c>
      <c r="D498" s="82" t="s">
        <v>1589</v>
      </c>
      <c r="E498" s="82"/>
      <c r="F498" s="82"/>
      <c r="G498" s="82"/>
      <c r="H498" s="82"/>
      <c r="I498" s="82"/>
      <c r="J498" s="82"/>
      <c r="K498" s="23">
        <v>3.117</v>
      </c>
      <c r="L498" s="23">
        <f>ROUND(30,3)</f>
        <v>30</v>
      </c>
      <c r="M498" s="24">
        <f t="shared" si="26"/>
        <v>93.51</v>
      </c>
    </row>
    <row r="499" spans="1:13" ht="15.45" customHeight="1" thickBot="1" x14ac:dyDescent="0.35">
      <c r="A499" s="37"/>
      <c r="B499" s="37"/>
      <c r="C499" s="37"/>
      <c r="D499" s="38" t="s">
        <v>1590</v>
      </c>
      <c r="E499" s="37"/>
      <c r="F499" s="37"/>
      <c r="G499" s="37"/>
      <c r="H499" s="37"/>
      <c r="I499" s="37"/>
      <c r="J499" s="37"/>
      <c r="K499" s="39">
        <v>1</v>
      </c>
      <c r="L499" s="40">
        <f>ROUND((M496+M497+M498)*(1+M2/100),2)</f>
        <v>429.16</v>
      </c>
      <c r="M499" s="40">
        <f t="shared" si="26"/>
        <v>429.16</v>
      </c>
    </row>
    <row r="500" spans="1:13" ht="15.45" customHeight="1" thickBot="1" x14ac:dyDescent="0.35">
      <c r="A500" s="58" t="s">
        <v>1591</v>
      </c>
      <c r="B500" s="59" t="s">
        <v>1592</v>
      </c>
      <c r="C500" s="59" t="s">
        <v>1593</v>
      </c>
      <c r="D500" s="85" t="s">
        <v>1594</v>
      </c>
      <c r="E500" s="85"/>
      <c r="F500" s="85"/>
      <c r="G500" s="85"/>
      <c r="H500" s="85"/>
      <c r="I500" s="85"/>
      <c r="J500" s="85"/>
      <c r="K500" s="60">
        <f>ROUND(1,2)</f>
        <v>1</v>
      </c>
      <c r="L500" s="61">
        <f>L510</f>
        <v>157.06</v>
      </c>
      <c r="M500" s="61">
        <f t="shared" si="26"/>
        <v>157.06</v>
      </c>
    </row>
    <row r="501" spans="1:13" ht="58.35" customHeight="1" thickBot="1" x14ac:dyDescent="0.35">
      <c r="A501" s="5" t="s">
        <v>1595</v>
      </c>
      <c r="B501" s="5" t="s">
        <v>1596</v>
      </c>
      <c r="C501" s="5" t="s">
        <v>1597</v>
      </c>
      <c r="D501" s="82" t="s">
        <v>1598</v>
      </c>
      <c r="E501" s="82"/>
      <c r="F501" s="82"/>
      <c r="G501" s="82"/>
      <c r="H501" s="82"/>
      <c r="I501" s="82"/>
      <c r="J501" s="82"/>
      <c r="K501" s="23">
        <v>1</v>
      </c>
      <c r="L501" s="23">
        <f>ROUND(113.245,3)</f>
        <v>113.245</v>
      </c>
      <c r="M501" s="24">
        <f t="shared" si="26"/>
        <v>113.25</v>
      </c>
    </row>
    <row r="502" spans="1:13" ht="15.15" customHeight="1" thickBot="1" x14ac:dyDescent="0.35">
      <c r="A502" s="5" t="s">
        <v>1599</v>
      </c>
      <c r="B502" s="5" t="s">
        <v>1600</v>
      </c>
      <c r="C502" s="5" t="s">
        <v>1601</v>
      </c>
      <c r="D502" s="82" t="s">
        <v>1602</v>
      </c>
      <c r="E502" s="82"/>
      <c r="F502" s="82"/>
      <c r="G502" s="82"/>
      <c r="H502" s="82"/>
      <c r="I502" s="82"/>
      <c r="J502" s="82"/>
      <c r="K502" s="23">
        <v>3</v>
      </c>
      <c r="L502" s="23">
        <f>ROUND(3.003,3)</f>
        <v>3.0030000000000001</v>
      </c>
      <c r="M502" s="24">
        <f t="shared" si="26"/>
        <v>9.01</v>
      </c>
    </row>
    <row r="503" spans="1:13" ht="15.15" customHeight="1" thickBot="1" x14ac:dyDescent="0.35">
      <c r="A503" s="5" t="s">
        <v>1603</v>
      </c>
      <c r="B503" s="5" t="s">
        <v>1604</v>
      </c>
      <c r="C503" s="5" t="s">
        <v>1605</v>
      </c>
      <c r="D503" s="82" t="s">
        <v>1606</v>
      </c>
      <c r="E503" s="82"/>
      <c r="F503" s="82"/>
      <c r="G503" s="82"/>
      <c r="H503" s="82"/>
      <c r="I503" s="82"/>
      <c r="J503" s="82"/>
      <c r="K503" s="23">
        <v>1</v>
      </c>
      <c r="L503" s="23">
        <f>ROUND(2.059,3)</f>
        <v>2.0590000000000002</v>
      </c>
      <c r="M503" s="24">
        <f t="shared" si="26"/>
        <v>2.06</v>
      </c>
    </row>
    <row r="504" spans="1:13" ht="15.15" customHeight="1" thickBot="1" x14ac:dyDescent="0.35">
      <c r="A504" s="5" t="s">
        <v>1607</v>
      </c>
      <c r="B504" s="5" t="s">
        <v>1608</v>
      </c>
      <c r="C504" s="5" t="s">
        <v>1609</v>
      </c>
      <c r="D504" s="82" t="s">
        <v>1610</v>
      </c>
      <c r="E504" s="82"/>
      <c r="F504" s="82"/>
      <c r="G504" s="82"/>
      <c r="H504" s="82"/>
      <c r="I504" s="82"/>
      <c r="J504" s="82"/>
      <c r="K504" s="23">
        <v>1</v>
      </c>
      <c r="L504" s="23">
        <f>ROUND(0.815,3)</f>
        <v>0.81499999999999995</v>
      </c>
      <c r="M504" s="24">
        <f t="shared" si="26"/>
        <v>0.82</v>
      </c>
    </row>
    <row r="505" spans="1:13" ht="15.15" customHeight="1" thickBot="1" x14ac:dyDescent="0.35">
      <c r="A505" s="5" t="s">
        <v>1611</v>
      </c>
      <c r="B505" s="5" t="s">
        <v>1612</v>
      </c>
      <c r="C505" s="5" t="s">
        <v>1613</v>
      </c>
      <c r="D505" s="82" t="s">
        <v>1614</v>
      </c>
      <c r="E505" s="82"/>
      <c r="F505" s="82"/>
      <c r="G505" s="82"/>
      <c r="H505" s="82"/>
      <c r="I505" s="82"/>
      <c r="J505" s="82"/>
      <c r="K505" s="23">
        <v>0.16900000000000001</v>
      </c>
      <c r="L505" s="23">
        <f>ROUND(30,3)</f>
        <v>30</v>
      </c>
      <c r="M505" s="24">
        <f t="shared" si="26"/>
        <v>5.07</v>
      </c>
    </row>
    <row r="506" spans="1:13" ht="15.15" customHeight="1" thickBot="1" x14ac:dyDescent="0.35">
      <c r="A506" s="5" t="s">
        <v>1615</v>
      </c>
      <c r="B506" s="5" t="s">
        <v>1616</v>
      </c>
      <c r="C506" s="5" t="s">
        <v>1617</v>
      </c>
      <c r="D506" s="82" t="s">
        <v>1618</v>
      </c>
      <c r="E506" s="82"/>
      <c r="F506" s="82"/>
      <c r="G506" s="82"/>
      <c r="H506" s="82"/>
      <c r="I506" s="82"/>
      <c r="J506" s="82"/>
      <c r="K506" s="23">
        <v>0.16900000000000001</v>
      </c>
      <c r="L506" s="23">
        <f>ROUND(21,3)</f>
        <v>21</v>
      </c>
      <c r="M506" s="24">
        <f t="shared" si="26"/>
        <v>3.55</v>
      </c>
    </row>
    <row r="507" spans="1:13" ht="15.15" customHeight="1" thickBot="1" x14ac:dyDescent="0.35">
      <c r="A507" s="5" t="s">
        <v>1619</v>
      </c>
      <c r="B507" s="5" t="s">
        <v>1620</v>
      </c>
      <c r="C507" s="5" t="s">
        <v>1621</v>
      </c>
      <c r="D507" s="82" t="s">
        <v>1622</v>
      </c>
      <c r="E507" s="82"/>
      <c r="F507" s="82"/>
      <c r="G507" s="82"/>
      <c r="H507" s="82"/>
      <c r="I507" s="82"/>
      <c r="J507" s="82"/>
      <c r="K507" s="23">
        <v>0.28100000000000003</v>
      </c>
      <c r="L507" s="23">
        <f>ROUND(30,3)</f>
        <v>30</v>
      </c>
      <c r="M507" s="24">
        <f t="shared" si="26"/>
        <v>8.43</v>
      </c>
    </row>
    <row r="508" spans="1:13" ht="15.15" customHeight="1" thickBot="1" x14ac:dyDescent="0.35">
      <c r="A508" s="5" t="s">
        <v>1623</v>
      </c>
      <c r="B508" s="5" t="s">
        <v>1624</v>
      </c>
      <c r="C508" s="5" t="s">
        <v>1625</v>
      </c>
      <c r="D508" s="82" t="s">
        <v>1626</v>
      </c>
      <c r="E508" s="82"/>
      <c r="F508" s="82"/>
      <c r="G508" s="82"/>
      <c r="H508" s="82"/>
      <c r="I508" s="82"/>
      <c r="J508" s="82"/>
      <c r="K508" s="23">
        <v>0.28100000000000003</v>
      </c>
      <c r="L508" s="23">
        <f>ROUND(26,3)</f>
        <v>26</v>
      </c>
      <c r="M508" s="24">
        <f t="shared" si="26"/>
        <v>7.31</v>
      </c>
    </row>
    <row r="509" spans="1:13" ht="15.15" customHeight="1" thickBot="1" x14ac:dyDescent="0.35">
      <c r="A509" s="5" t="s">
        <v>1627</v>
      </c>
      <c r="B509" s="5"/>
      <c r="C509" s="5" t="s">
        <v>1628</v>
      </c>
      <c r="D509" s="82" t="s">
        <v>1629</v>
      </c>
      <c r="E509" s="82"/>
      <c r="F509" s="82"/>
      <c r="G509" s="82"/>
      <c r="H509" s="82"/>
      <c r="I509" s="82"/>
      <c r="J509" s="82"/>
      <c r="K509" s="23">
        <v>2</v>
      </c>
      <c r="L509" s="23">
        <f>ROUND(149.5,3)</f>
        <v>149.5</v>
      </c>
      <c r="M509" s="24">
        <f>ROUND((K509*L509)/100,2)</f>
        <v>2.99</v>
      </c>
    </row>
    <row r="510" spans="1:13" ht="15.45" customHeight="1" thickBot="1" x14ac:dyDescent="0.35">
      <c r="A510" s="37"/>
      <c r="B510" s="37"/>
      <c r="C510" s="37"/>
      <c r="D510" s="38" t="s">
        <v>1630</v>
      </c>
      <c r="E510" s="37"/>
      <c r="F510" s="37"/>
      <c r="G510" s="37"/>
      <c r="H510" s="37"/>
      <c r="I510" s="37"/>
      <c r="J510" s="37"/>
      <c r="K510" s="39">
        <v>1</v>
      </c>
      <c r="L510" s="40">
        <f>ROUND((M501+M502+M503+M504+M505+M506+M507+M508+M509)*(1+M2/100),2)</f>
        <v>157.06</v>
      </c>
      <c r="M510" s="40">
        <f>ROUND(K510*L510,2)</f>
        <v>157.06</v>
      </c>
    </row>
    <row r="511" spans="1:13" ht="15.45" customHeight="1" thickBot="1" x14ac:dyDescent="0.35">
      <c r="A511" s="58" t="s">
        <v>1631</v>
      </c>
      <c r="B511" s="59" t="s">
        <v>1632</v>
      </c>
      <c r="C511" s="59" t="s">
        <v>1633</v>
      </c>
      <c r="D511" s="85" t="s">
        <v>1634</v>
      </c>
      <c r="E511" s="85"/>
      <c r="F511" s="85"/>
      <c r="G511" s="85"/>
      <c r="H511" s="85"/>
      <c r="I511" s="85"/>
      <c r="J511" s="85"/>
      <c r="K511" s="60">
        <f>SUM(K513:K513)</f>
        <v>6</v>
      </c>
      <c r="L511" s="61">
        <f>L518</f>
        <v>3.29</v>
      </c>
      <c r="M511" s="61">
        <f>ROUND(K511*L511,2)</f>
        <v>19.739999999999998</v>
      </c>
    </row>
    <row r="512" spans="1:13" ht="15.15" customHeight="1" thickBot="1" x14ac:dyDescent="0.35">
      <c r="A512" s="25"/>
      <c r="B512" s="25"/>
      <c r="C512" s="25"/>
      <c r="D512" s="25"/>
      <c r="E512" s="26"/>
      <c r="F512" s="28" t="s">
        <v>1635</v>
      </c>
      <c r="G512" s="28" t="s">
        <v>1636</v>
      </c>
      <c r="H512" s="28" t="s">
        <v>1637</v>
      </c>
      <c r="I512" s="28" t="s">
        <v>1638</v>
      </c>
      <c r="J512" s="28" t="s">
        <v>1639</v>
      </c>
      <c r="K512" s="28" t="s">
        <v>1640</v>
      </c>
      <c r="L512" s="25"/>
      <c r="M512" s="25"/>
    </row>
    <row r="513" spans="1:13" ht="15.15" customHeight="1" thickBot="1" x14ac:dyDescent="0.35">
      <c r="A513" s="25"/>
      <c r="B513" s="25"/>
      <c r="C513" s="25"/>
      <c r="D513" s="29"/>
      <c r="E513" s="30" t="s">
        <v>1641</v>
      </c>
      <c r="F513" s="31">
        <v>3</v>
      </c>
      <c r="G513" s="32">
        <v>2</v>
      </c>
      <c r="H513" s="32"/>
      <c r="I513" s="32"/>
      <c r="J513" s="34">
        <f>ROUND(F513*G513,3)</f>
        <v>6</v>
      </c>
      <c r="K513" s="36">
        <f>SUM(J513:J513)</f>
        <v>6</v>
      </c>
      <c r="L513" s="25"/>
      <c r="M513" s="25"/>
    </row>
    <row r="514" spans="1:13" ht="15.15" customHeight="1" thickBot="1" x14ac:dyDescent="0.35">
      <c r="A514" s="5" t="s">
        <v>1642</v>
      </c>
      <c r="B514" s="5" t="s">
        <v>1643</v>
      </c>
      <c r="C514" s="5" t="s">
        <v>1644</v>
      </c>
      <c r="D514" s="82" t="s">
        <v>1645</v>
      </c>
      <c r="E514" s="82"/>
      <c r="F514" s="82"/>
      <c r="G514" s="82"/>
      <c r="H514" s="82"/>
      <c r="I514" s="82"/>
      <c r="J514" s="82"/>
      <c r="K514" s="23">
        <v>0.01</v>
      </c>
      <c r="L514" s="23">
        <f>ROUND(26,3)</f>
        <v>26</v>
      </c>
      <c r="M514" s="24">
        <f>ROUND(K514*L514,2)</f>
        <v>0.26</v>
      </c>
    </row>
    <row r="515" spans="1:13" ht="15.15" customHeight="1" thickBot="1" x14ac:dyDescent="0.35">
      <c r="A515" s="5" t="s">
        <v>1646</v>
      </c>
      <c r="B515" s="5" t="s">
        <v>1647</v>
      </c>
      <c r="C515" s="5" t="s">
        <v>1648</v>
      </c>
      <c r="D515" s="82" t="s">
        <v>1649</v>
      </c>
      <c r="E515" s="82"/>
      <c r="F515" s="82"/>
      <c r="G515" s="82"/>
      <c r="H515" s="82"/>
      <c r="I515" s="82"/>
      <c r="J515" s="82"/>
      <c r="K515" s="23">
        <v>2.1999999999999999E-2</v>
      </c>
      <c r="L515" s="23">
        <f>ROUND(30,3)</f>
        <v>30</v>
      </c>
      <c r="M515" s="24">
        <f>ROUND(K515*L515,2)</f>
        <v>0.66</v>
      </c>
    </row>
    <row r="516" spans="1:13" ht="15.15" customHeight="1" thickBot="1" x14ac:dyDescent="0.35">
      <c r="A516" s="5" t="s">
        <v>1650</v>
      </c>
      <c r="B516" s="5" t="s">
        <v>1651</v>
      </c>
      <c r="C516" s="5" t="s">
        <v>1652</v>
      </c>
      <c r="D516" s="82" t="s">
        <v>1653</v>
      </c>
      <c r="E516" s="82"/>
      <c r="F516" s="82"/>
      <c r="G516" s="82"/>
      <c r="H516" s="82"/>
      <c r="I516" s="82"/>
      <c r="J516" s="82"/>
      <c r="K516" s="23">
        <v>1.02</v>
      </c>
      <c r="L516" s="23">
        <f>ROUND(2.212,3)</f>
        <v>2.2120000000000002</v>
      </c>
      <c r="M516" s="24">
        <f>ROUND(K516*L516,2)</f>
        <v>2.2599999999999998</v>
      </c>
    </row>
    <row r="517" spans="1:13" ht="15.15" customHeight="1" thickBot="1" x14ac:dyDescent="0.35">
      <c r="A517" s="5" t="s">
        <v>1654</v>
      </c>
      <c r="B517" s="5"/>
      <c r="C517" s="5" t="s">
        <v>1655</v>
      </c>
      <c r="D517" s="82" t="s">
        <v>1656</v>
      </c>
      <c r="E517" s="82"/>
      <c r="F517" s="82"/>
      <c r="G517" s="82"/>
      <c r="H517" s="82"/>
      <c r="I517" s="82"/>
      <c r="J517" s="82"/>
      <c r="K517" s="23">
        <v>1.5</v>
      </c>
      <c r="L517" s="23">
        <f>ROUND(0.92,3)</f>
        <v>0.92</v>
      </c>
      <c r="M517" s="24">
        <f>ROUND((K517*L517)/100,2)</f>
        <v>0.01</v>
      </c>
    </row>
    <row r="518" spans="1:13" ht="15.45" customHeight="1" thickBot="1" x14ac:dyDescent="0.35">
      <c r="A518" s="37"/>
      <c r="B518" s="37"/>
      <c r="C518" s="37"/>
      <c r="D518" s="38" t="s">
        <v>1657</v>
      </c>
      <c r="E518" s="37"/>
      <c r="F518" s="37"/>
      <c r="G518" s="37"/>
      <c r="H518" s="37"/>
      <c r="I518" s="37"/>
      <c r="J518" s="37"/>
      <c r="K518" s="39">
        <v>6</v>
      </c>
      <c r="L518" s="40">
        <f>ROUND((M514+M515+M516+M517)*(1+M2/100),2)</f>
        <v>3.29</v>
      </c>
      <c r="M518" s="40">
        <f>ROUND(K518*L518,2)</f>
        <v>19.739999999999998</v>
      </c>
    </row>
    <row r="519" spans="1:13" ht="15.45" customHeight="1" thickBot="1" x14ac:dyDescent="0.35">
      <c r="A519" s="58" t="s">
        <v>1658</v>
      </c>
      <c r="B519" s="59" t="s">
        <v>1659</v>
      </c>
      <c r="C519" s="59" t="s">
        <v>1660</v>
      </c>
      <c r="D519" s="85" t="s">
        <v>1661</v>
      </c>
      <c r="E519" s="85"/>
      <c r="F519" s="85"/>
      <c r="G519" s="85"/>
      <c r="H519" s="85"/>
      <c r="I519" s="85"/>
      <c r="J519" s="85"/>
      <c r="K519" s="60">
        <f>SUM(K521:K521)</f>
        <v>5</v>
      </c>
      <c r="L519" s="61">
        <f>L526</f>
        <v>3.69</v>
      </c>
      <c r="M519" s="61">
        <f>ROUND(K519*L519,2)</f>
        <v>18.45</v>
      </c>
    </row>
    <row r="520" spans="1:13" ht="15.15" customHeight="1" thickBot="1" x14ac:dyDescent="0.35">
      <c r="A520" s="25"/>
      <c r="B520" s="25"/>
      <c r="C520" s="25"/>
      <c r="D520" s="25"/>
      <c r="E520" s="26"/>
      <c r="F520" s="28" t="s">
        <v>1662</v>
      </c>
      <c r="G520" s="28" t="s">
        <v>1663</v>
      </c>
      <c r="H520" s="28" t="s">
        <v>1664</v>
      </c>
      <c r="I520" s="28" t="s">
        <v>1665</v>
      </c>
      <c r="J520" s="28" t="s">
        <v>1666</v>
      </c>
      <c r="K520" s="28" t="s">
        <v>1667</v>
      </c>
      <c r="L520" s="25"/>
      <c r="M520" s="25"/>
    </row>
    <row r="521" spans="1:13" ht="15.15" customHeight="1" thickBot="1" x14ac:dyDescent="0.35">
      <c r="A521" s="25"/>
      <c r="B521" s="25"/>
      <c r="C521" s="25"/>
      <c r="D521" s="29"/>
      <c r="E521" s="30" t="s">
        <v>1668</v>
      </c>
      <c r="F521" s="31">
        <v>1</v>
      </c>
      <c r="G521" s="32">
        <v>5</v>
      </c>
      <c r="H521" s="32"/>
      <c r="I521" s="32"/>
      <c r="J521" s="34">
        <f>ROUND(F521*G521,3)</f>
        <v>5</v>
      </c>
      <c r="K521" s="36">
        <f>SUM(J521:J521)</f>
        <v>5</v>
      </c>
      <c r="L521" s="25"/>
      <c r="M521" s="25"/>
    </row>
    <row r="522" spans="1:13" ht="21.3" customHeight="1" thickBot="1" x14ac:dyDescent="0.35">
      <c r="A522" s="5" t="s">
        <v>1669</v>
      </c>
      <c r="B522" s="5" t="s">
        <v>1670</v>
      </c>
      <c r="C522" s="5" t="s">
        <v>1671</v>
      </c>
      <c r="D522" s="82" t="s">
        <v>1672</v>
      </c>
      <c r="E522" s="82"/>
      <c r="F522" s="82"/>
      <c r="G522" s="82"/>
      <c r="H522" s="82"/>
      <c r="I522" s="82"/>
      <c r="J522" s="82"/>
      <c r="K522" s="23">
        <v>1</v>
      </c>
      <c r="L522" s="23">
        <f>ROUND(1.848,3)</f>
        <v>1.8480000000000001</v>
      </c>
      <c r="M522" s="24">
        <f>ROUND(K522*L522,2)</f>
        <v>1.85</v>
      </c>
    </row>
    <row r="523" spans="1:13" ht="15.15" customHeight="1" thickBot="1" x14ac:dyDescent="0.35">
      <c r="A523" s="5" t="s">
        <v>1673</v>
      </c>
      <c r="B523" s="5" t="s">
        <v>1674</v>
      </c>
      <c r="C523" s="5" t="s">
        <v>1675</v>
      </c>
      <c r="D523" s="82" t="s">
        <v>1676</v>
      </c>
      <c r="E523" s="82"/>
      <c r="F523" s="82"/>
      <c r="G523" s="82"/>
      <c r="H523" s="82"/>
      <c r="I523" s="82"/>
      <c r="J523" s="82"/>
      <c r="K523" s="23">
        <v>3.1E-2</v>
      </c>
      <c r="L523" s="23">
        <f>ROUND(30,3)</f>
        <v>30</v>
      </c>
      <c r="M523" s="24">
        <f>ROUND(K523*L523,2)</f>
        <v>0.93</v>
      </c>
    </row>
    <row r="524" spans="1:13" ht="15.15" customHeight="1" thickBot="1" x14ac:dyDescent="0.35">
      <c r="A524" s="5" t="s">
        <v>1677</v>
      </c>
      <c r="B524" s="5" t="s">
        <v>1678</v>
      </c>
      <c r="C524" s="5" t="s">
        <v>1679</v>
      </c>
      <c r="D524" s="82" t="s">
        <v>1680</v>
      </c>
      <c r="E524" s="82"/>
      <c r="F524" s="82"/>
      <c r="G524" s="82"/>
      <c r="H524" s="82"/>
      <c r="I524" s="82"/>
      <c r="J524" s="82"/>
      <c r="K524" s="23">
        <v>2.8000000000000001E-2</v>
      </c>
      <c r="L524" s="23">
        <f>ROUND(26,3)</f>
        <v>26</v>
      </c>
      <c r="M524" s="24">
        <f>ROUND(K524*L524,2)</f>
        <v>0.73</v>
      </c>
    </row>
    <row r="525" spans="1:13" ht="15.15" customHeight="1" thickBot="1" x14ac:dyDescent="0.35">
      <c r="A525" s="5" t="s">
        <v>1681</v>
      </c>
      <c r="B525" s="5"/>
      <c r="C525" s="5" t="s">
        <v>1682</v>
      </c>
      <c r="D525" s="82" t="s">
        <v>1683</v>
      </c>
      <c r="E525" s="82"/>
      <c r="F525" s="82"/>
      <c r="G525" s="82"/>
      <c r="H525" s="82"/>
      <c r="I525" s="82"/>
      <c r="J525" s="82"/>
      <c r="K525" s="23">
        <v>2</v>
      </c>
      <c r="L525" s="23">
        <f>ROUND(3.51,3)</f>
        <v>3.51</v>
      </c>
      <c r="M525" s="24">
        <f>ROUND((K525*L525)/100,2)</f>
        <v>7.0000000000000007E-2</v>
      </c>
    </row>
    <row r="526" spans="1:13" ht="15.45" customHeight="1" thickBot="1" x14ac:dyDescent="0.35">
      <c r="A526" s="37"/>
      <c r="B526" s="37"/>
      <c r="C526" s="37"/>
      <c r="D526" s="38" t="s">
        <v>1684</v>
      </c>
      <c r="E526" s="37"/>
      <c r="F526" s="37"/>
      <c r="G526" s="37"/>
      <c r="H526" s="37"/>
      <c r="I526" s="37"/>
      <c r="J526" s="37"/>
      <c r="K526" s="39">
        <v>5</v>
      </c>
      <c r="L526" s="40">
        <f>ROUND((M522+M523+M524+M525)*(1+M2/100),2)</f>
        <v>3.69</v>
      </c>
      <c r="M526" s="40">
        <f>ROUND(K526*L526,2)</f>
        <v>18.45</v>
      </c>
    </row>
    <row r="527" spans="1:13" ht="15.45" customHeight="1" thickBot="1" x14ac:dyDescent="0.35">
      <c r="A527" s="58" t="s">
        <v>1685</v>
      </c>
      <c r="B527" s="59" t="s">
        <v>1686</v>
      </c>
      <c r="C527" s="59" t="s">
        <v>1687</v>
      </c>
      <c r="D527" s="85" t="s">
        <v>1688</v>
      </c>
      <c r="E527" s="85"/>
      <c r="F527" s="85"/>
      <c r="G527" s="85"/>
      <c r="H527" s="85"/>
      <c r="I527" s="85"/>
      <c r="J527" s="85"/>
      <c r="K527" s="60">
        <f>SUM(K529:K529)</f>
        <v>5</v>
      </c>
      <c r="L527" s="61">
        <f>L534</f>
        <v>8.39</v>
      </c>
      <c r="M527" s="61">
        <f>ROUND(K527*L527,2)</f>
        <v>41.95</v>
      </c>
    </row>
    <row r="528" spans="1:13" ht="15.15" customHeight="1" thickBot="1" x14ac:dyDescent="0.35">
      <c r="A528" s="25"/>
      <c r="B528" s="25"/>
      <c r="C528" s="25"/>
      <c r="D528" s="25"/>
      <c r="E528" s="26"/>
      <c r="F528" s="28" t="s">
        <v>1689</v>
      </c>
      <c r="G528" s="28" t="s">
        <v>1690</v>
      </c>
      <c r="H528" s="28" t="s">
        <v>1691</v>
      </c>
      <c r="I528" s="28" t="s">
        <v>1692</v>
      </c>
      <c r="J528" s="28" t="s">
        <v>1693</v>
      </c>
      <c r="K528" s="28" t="s">
        <v>1694</v>
      </c>
      <c r="L528" s="25"/>
      <c r="M528" s="25"/>
    </row>
    <row r="529" spans="1:13" ht="15.15" customHeight="1" thickBot="1" x14ac:dyDescent="0.35">
      <c r="A529" s="25"/>
      <c r="B529" s="25"/>
      <c r="C529" s="25"/>
      <c r="D529" s="29"/>
      <c r="E529" s="30" t="s">
        <v>1695</v>
      </c>
      <c r="F529" s="31">
        <v>1</v>
      </c>
      <c r="G529" s="32">
        <v>5</v>
      </c>
      <c r="H529" s="32"/>
      <c r="I529" s="32"/>
      <c r="J529" s="34">
        <f>ROUND(F529*G529,3)</f>
        <v>5</v>
      </c>
      <c r="K529" s="36">
        <f>SUM(J529:J529)</f>
        <v>5</v>
      </c>
      <c r="L529" s="25"/>
      <c r="M529" s="25"/>
    </row>
    <row r="530" spans="1:13" ht="39.75" customHeight="1" thickBot="1" x14ac:dyDescent="0.35">
      <c r="A530" s="5" t="s">
        <v>1696</v>
      </c>
      <c r="B530" s="5" t="s">
        <v>1697</v>
      </c>
      <c r="C530" s="5" t="s">
        <v>1698</v>
      </c>
      <c r="D530" s="82" t="s">
        <v>1699</v>
      </c>
      <c r="E530" s="82"/>
      <c r="F530" s="82"/>
      <c r="G530" s="82"/>
      <c r="H530" s="82"/>
      <c r="I530" s="82"/>
      <c r="J530" s="82"/>
      <c r="K530" s="23">
        <v>1</v>
      </c>
      <c r="L530" s="23">
        <f>ROUND(6.761,3)</f>
        <v>6.7610000000000001</v>
      </c>
      <c r="M530" s="24">
        <f>ROUND(K530*L530,2)</f>
        <v>6.76</v>
      </c>
    </row>
    <row r="531" spans="1:13" ht="15.15" customHeight="1" thickBot="1" x14ac:dyDescent="0.35">
      <c r="A531" s="5" t="s">
        <v>1700</v>
      </c>
      <c r="B531" s="5" t="s">
        <v>1701</v>
      </c>
      <c r="C531" s="5" t="s">
        <v>1702</v>
      </c>
      <c r="D531" s="82" t="s">
        <v>1703</v>
      </c>
      <c r="E531" s="82"/>
      <c r="F531" s="82"/>
      <c r="G531" s="82"/>
      <c r="H531" s="82"/>
      <c r="I531" s="82"/>
      <c r="J531" s="82"/>
      <c r="K531" s="23">
        <v>2.1999999999999999E-2</v>
      </c>
      <c r="L531" s="23">
        <f>ROUND(30,3)</f>
        <v>30</v>
      </c>
      <c r="M531" s="24">
        <f>ROUND(K531*L531,2)</f>
        <v>0.66</v>
      </c>
    </row>
    <row r="532" spans="1:13" ht="15.15" customHeight="1" thickBot="1" x14ac:dyDescent="0.35">
      <c r="A532" s="5" t="s">
        <v>1704</v>
      </c>
      <c r="B532" s="5" t="s">
        <v>1705</v>
      </c>
      <c r="C532" s="5" t="s">
        <v>1706</v>
      </c>
      <c r="D532" s="82" t="s">
        <v>1707</v>
      </c>
      <c r="E532" s="82"/>
      <c r="F532" s="82"/>
      <c r="G532" s="82"/>
      <c r="H532" s="82"/>
      <c r="I532" s="82"/>
      <c r="J532" s="82"/>
      <c r="K532" s="23">
        <v>2.1999999999999999E-2</v>
      </c>
      <c r="L532" s="23">
        <f>ROUND(26,3)</f>
        <v>26</v>
      </c>
      <c r="M532" s="24">
        <f>ROUND(K532*L532,2)</f>
        <v>0.56999999999999995</v>
      </c>
    </row>
    <row r="533" spans="1:13" ht="15.15" customHeight="1" thickBot="1" x14ac:dyDescent="0.35">
      <c r="A533" s="5" t="s">
        <v>1708</v>
      </c>
      <c r="B533" s="5"/>
      <c r="C533" s="5" t="s">
        <v>1709</v>
      </c>
      <c r="D533" s="82" t="s">
        <v>1710</v>
      </c>
      <c r="E533" s="82"/>
      <c r="F533" s="82"/>
      <c r="G533" s="82"/>
      <c r="H533" s="82"/>
      <c r="I533" s="82"/>
      <c r="J533" s="82"/>
      <c r="K533" s="23">
        <v>2</v>
      </c>
      <c r="L533" s="23">
        <f>ROUND(7.99,3)</f>
        <v>7.99</v>
      </c>
      <c r="M533" s="24">
        <f>ROUND((K533*L533)/100,2)</f>
        <v>0.16</v>
      </c>
    </row>
    <row r="534" spans="1:13" ht="15.45" customHeight="1" thickBot="1" x14ac:dyDescent="0.35">
      <c r="A534" s="37"/>
      <c r="B534" s="37"/>
      <c r="C534" s="37"/>
      <c r="D534" s="38" t="s">
        <v>1711</v>
      </c>
      <c r="E534" s="37"/>
      <c r="F534" s="37"/>
      <c r="G534" s="37"/>
      <c r="H534" s="37"/>
      <c r="I534" s="37"/>
      <c r="J534" s="37"/>
      <c r="K534" s="39">
        <v>5</v>
      </c>
      <c r="L534" s="40">
        <f>ROUND((M530+M531+M532+M533)*(1+M2/100),2)</f>
        <v>8.39</v>
      </c>
      <c r="M534" s="40">
        <f>ROUND(K534*L534,2)</f>
        <v>41.95</v>
      </c>
    </row>
    <row r="535" spans="1:13" ht="15.45" customHeight="1" thickBot="1" x14ac:dyDescent="0.35">
      <c r="A535" s="41"/>
      <c r="B535" s="41"/>
      <c r="C535" s="41"/>
      <c r="D535" s="42" t="s">
        <v>1712</v>
      </c>
      <c r="E535" s="43"/>
      <c r="F535" s="43"/>
      <c r="G535" s="43"/>
      <c r="H535" s="43"/>
      <c r="I535" s="43"/>
      <c r="J535" s="43"/>
      <c r="K535" s="43"/>
      <c r="L535" s="44">
        <f>M495+M500+M511+M519+M527</f>
        <v>666.36000000000013</v>
      </c>
      <c r="M535" s="44">
        <f>ROUND(L535,2)</f>
        <v>666.36</v>
      </c>
    </row>
    <row r="536" spans="1:13" ht="15.45" customHeight="1" thickBot="1" x14ac:dyDescent="0.35">
      <c r="A536" s="54" t="s">
        <v>1713</v>
      </c>
      <c r="B536" s="54" t="s">
        <v>1714</v>
      </c>
      <c r="C536" s="55"/>
      <c r="D536" s="84" t="s">
        <v>1715</v>
      </c>
      <c r="E536" s="84"/>
      <c r="F536" s="84"/>
      <c r="G536" s="84"/>
      <c r="H536" s="84"/>
      <c r="I536" s="84"/>
      <c r="J536" s="84"/>
      <c r="K536" s="55"/>
      <c r="L536" s="56">
        <f>L590</f>
        <v>1645.81</v>
      </c>
      <c r="M536" s="56">
        <f>ROUND(L536,2)</f>
        <v>1645.81</v>
      </c>
    </row>
    <row r="537" spans="1:13" ht="15.45" customHeight="1" thickBot="1" x14ac:dyDescent="0.35">
      <c r="A537" s="10" t="s">
        <v>1716</v>
      </c>
      <c r="B537" s="5" t="s">
        <v>1717</v>
      </c>
      <c r="C537" s="5" t="s">
        <v>1718</v>
      </c>
      <c r="D537" s="82" t="s">
        <v>1719</v>
      </c>
      <c r="E537" s="82"/>
      <c r="F537" s="82"/>
      <c r="G537" s="82"/>
      <c r="H537" s="82"/>
      <c r="I537" s="82"/>
      <c r="J537" s="82"/>
      <c r="K537" s="23">
        <f>ROUND(1,2)</f>
        <v>1</v>
      </c>
      <c r="L537" s="24">
        <f>L544</f>
        <v>361.72</v>
      </c>
      <c r="M537" s="24">
        <f t="shared" ref="M537:M542" si="27">ROUND(K537*L537,2)</f>
        <v>361.72</v>
      </c>
    </row>
    <row r="538" spans="1:13" ht="39.75" customHeight="1" thickBot="1" x14ac:dyDescent="0.35">
      <c r="A538" s="5" t="s">
        <v>1720</v>
      </c>
      <c r="B538" s="5" t="s">
        <v>1721</v>
      </c>
      <c r="C538" s="5" t="s">
        <v>1722</v>
      </c>
      <c r="D538" s="82" t="s">
        <v>1723</v>
      </c>
      <c r="E538" s="82"/>
      <c r="F538" s="82"/>
      <c r="G538" s="82"/>
      <c r="H538" s="82"/>
      <c r="I538" s="82"/>
      <c r="J538" s="82"/>
      <c r="K538" s="23">
        <v>1</v>
      </c>
      <c r="L538" s="23">
        <f>ROUND(176.338,3)</f>
        <v>176.33799999999999</v>
      </c>
      <c r="M538" s="24">
        <f t="shared" si="27"/>
        <v>176.34</v>
      </c>
    </row>
    <row r="539" spans="1:13" ht="15.15" customHeight="1" thickBot="1" x14ac:dyDescent="0.35">
      <c r="A539" s="5" t="s">
        <v>1724</v>
      </c>
      <c r="B539" s="5" t="s">
        <v>1725</v>
      </c>
      <c r="C539" s="5" t="s">
        <v>1726</v>
      </c>
      <c r="D539" s="82" t="s">
        <v>1727</v>
      </c>
      <c r="E539" s="82"/>
      <c r="F539" s="82"/>
      <c r="G539" s="82"/>
      <c r="H539" s="82"/>
      <c r="I539" s="82"/>
      <c r="J539" s="82"/>
      <c r="K539" s="23">
        <v>5</v>
      </c>
      <c r="L539" s="23">
        <f>ROUND(9.505,3)</f>
        <v>9.5050000000000008</v>
      </c>
      <c r="M539" s="24">
        <f t="shared" si="27"/>
        <v>47.53</v>
      </c>
    </row>
    <row r="540" spans="1:13" ht="15.15" customHeight="1" thickBot="1" x14ac:dyDescent="0.35">
      <c r="A540" s="5" t="s">
        <v>1728</v>
      </c>
      <c r="B540" s="5" t="s">
        <v>1729</v>
      </c>
      <c r="C540" s="5" t="s">
        <v>1730</v>
      </c>
      <c r="D540" s="82" t="s">
        <v>1731</v>
      </c>
      <c r="E540" s="82"/>
      <c r="F540" s="82"/>
      <c r="G540" s="82"/>
      <c r="H540" s="82"/>
      <c r="I540" s="82"/>
      <c r="J540" s="82"/>
      <c r="K540" s="23">
        <v>5</v>
      </c>
      <c r="L540" s="23">
        <f>ROUND(10.153,3)</f>
        <v>10.153</v>
      </c>
      <c r="M540" s="24">
        <f t="shared" si="27"/>
        <v>50.77</v>
      </c>
    </row>
    <row r="541" spans="1:13" ht="15.15" customHeight="1" thickBot="1" x14ac:dyDescent="0.35">
      <c r="A541" s="5" t="s">
        <v>1732</v>
      </c>
      <c r="B541" s="5" t="s">
        <v>1733</v>
      </c>
      <c r="C541" s="5" t="s">
        <v>1734</v>
      </c>
      <c r="D541" s="82" t="s">
        <v>1735</v>
      </c>
      <c r="E541" s="82"/>
      <c r="F541" s="82"/>
      <c r="G541" s="82"/>
      <c r="H541" s="82"/>
      <c r="I541" s="82"/>
      <c r="J541" s="82"/>
      <c r="K541" s="23">
        <v>3</v>
      </c>
      <c r="L541" s="23">
        <f>ROUND(21.415,3)</f>
        <v>21.414999999999999</v>
      </c>
      <c r="M541" s="24">
        <f t="shared" si="27"/>
        <v>64.25</v>
      </c>
    </row>
    <row r="542" spans="1:13" ht="15.15" customHeight="1" thickBot="1" x14ac:dyDescent="0.35">
      <c r="A542" s="5" t="s">
        <v>1736</v>
      </c>
      <c r="B542" s="5" t="s">
        <v>1737</v>
      </c>
      <c r="C542" s="5" t="s">
        <v>1738</v>
      </c>
      <c r="D542" s="82" t="s">
        <v>1739</v>
      </c>
      <c r="E542" s="82"/>
      <c r="F542" s="82"/>
      <c r="G542" s="82"/>
      <c r="H542" s="82"/>
      <c r="I542" s="82"/>
      <c r="J542" s="82"/>
      <c r="K542" s="23">
        <v>0.18</v>
      </c>
      <c r="L542" s="23">
        <f>ROUND(30,3)</f>
        <v>30</v>
      </c>
      <c r="M542" s="24">
        <f t="shared" si="27"/>
        <v>5.4</v>
      </c>
    </row>
    <row r="543" spans="1:13" ht="15.15" customHeight="1" thickBot="1" x14ac:dyDescent="0.35">
      <c r="A543" s="5" t="s">
        <v>1740</v>
      </c>
      <c r="B543" s="5"/>
      <c r="C543" s="5" t="s">
        <v>1741</v>
      </c>
      <c r="D543" s="82" t="s">
        <v>1742</v>
      </c>
      <c r="E543" s="82"/>
      <c r="F543" s="82"/>
      <c r="G543" s="82"/>
      <c r="H543" s="82"/>
      <c r="I543" s="82"/>
      <c r="J543" s="82"/>
      <c r="K543" s="23">
        <v>2</v>
      </c>
      <c r="L543" s="23">
        <f>ROUND(344.29,3)</f>
        <v>344.29</v>
      </c>
      <c r="M543" s="24">
        <f>ROUND((K543*L543)/100,2)</f>
        <v>6.89</v>
      </c>
    </row>
    <row r="544" spans="1:13" ht="15.45" customHeight="1" thickBot="1" x14ac:dyDescent="0.35">
      <c r="A544" s="37"/>
      <c r="B544" s="37"/>
      <c r="C544" s="37"/>
      <c r="D544" s="38" t="s">
        <v>1743</v>
      </c>
      <c r="E544" s="37"/>
      <c r="F544" s="37"/>
      <c r="G544" s="37"/>
      <c r="H544" s="37"/>
      <c r="I544" s="37"/>
      <c r="J544" s="37"/>
      <c r="K544" s="39">
        <v>1</v>
      </c>
      <c r="L544" s="40">
        <f>ROUND((M538+M539+M540+M541+M542+M543)*(1+M2/100),2)</f>
        <v>361.72</v>
      </c>
      <c r="M544" s="40">
        <f>ROUND(K544*L544,2)</f>
        <v>361.72</v>
      </c>
    </row>
    <row r="545" spans="1:13" ht="15.45" customHeight="1" thickBot="1" x14ac:dyDescent="0.35">
      <c r="A545" s="58" t="s">
        <v>1744</v>
      </c>
      <c r="B545" s="59" t="s">
        <v>1745</v>
      </c>
      <c r="C545" s="59" t="s">
        <v>1746</v>
      </c>
      <c r="D545" s="85" t="s">
        <v>1747</v>
      </c>
      <c r="E545" s="85"/>
      <c r="F545" s="85"/>
      <c r="G545" s="85"/>
      <c r="H545" s="85"/>
      <c r="I545" s="85"/>
      <c r="J545" s="85"/>
      <c r="K545" s="60">
        <f>ROUND(1,2)</f>
        <v>1</v>
      </c>
      <c r="L545" s="61">
        <f>L549</f>
        <v>191.52</v>
      </c>
      <c r="M545" s="61">
        <f>ROUND(K545*L545,2)</f>
        <v>191.52</v>
      </c>
    </row>
    <row r="546" spans="1:13" ht="67.5" customHeight="1" thickBot="1" x14ac:dyDescent="0.35">
      <c r="A546" s="5" t="s">
        <v>1748</v>
      </c>
      <c r="B546" s="5" t="s">
        <v>1749</v>
      </c>
      <c r="C546" s="5" t="s">
        <v>1750</v>
      </c>
      <c r="D546" s="82" t="s">
        <v>1751</v>
      </c>
      <c r="E546" s="82"/>
      <c r="F546" s="82"/>
      <c r="G546" s="82"/>
      <c r="H546" s="82"/>
      <c r="I546" s="82"/>
      <c r="J546" s="82"/>
      <c r="K546" s="23">
        <v>1</v>
      </c>
      <c r="L546" s="23">
        <f>ROUND(176.375,3)</f>
        <v>176.375</v>
      </c>
      <c r="M546" s="24">
        <f>ROUND(K546*L546,2)</f>
        <v>176.38</v>
      </c>
    </row>
    <row r="547" spans="1:13" ht="15.15" customHeight="1" thickBot="1" x14ac:dyDescent="0.35">
      <c r="A547" s="5" t="s">
        <v>1752</v>
      </c>
      <c r="B547" s="5" t="s">
        <v>1753</v>
      </c>
      <c r="C547" s="5" t="s">
        <v>1754</v>
      </c>
      <c r="D547" s="82" t="s">
        <v>1755</v>
      </c>
      <c r="E547" s="82"/>
      <c r="F547" s="82"/>
      <c r="G547" s="82"/>
      <c r="H547" s="82"/>
      <c r="I547" s="82"/>
      <c r="J547" s="82"/>
      <c r="K547" s="23">
        <v>0.19700000000000001</v>
      </c>
      <c r="L547" s="23">
        <f>ROUND(30,3)</f>
        <v>30</v>
      </c>
      <c r="M547" s="24">
        <f>ROUND(K547*L547,2)</f>
        <v>5.91</v>
      </c>
    </row>
    <row r="548" spans="1:13" ht="15.15" customHeight="1" thickBot="1" x14ac:dyDescent="0.35">
      <c r="A548" s="5" t="s">
        <v>1756</v>
      </c>
      <c r="B548" s="5"/>
      <c r="C548" s="5" t="s">
        <v>1757</v>
      </c>
      <c r="D548" s="82" t="s">
        <v>1758</v>
      </c>
      <c r="E548" s="82"/>
      <c r="F548" s="82"/>
      <c r="G548" s="82"/>
      <c r="H548" s="82"/>
      <c r="I548" s="82"/>
      <c r="J548" s="82"/>
      <c r="K548" s="23">
        <v>2</v>
      </c>
      <c r="L548" s="23">
        <f>ROUND(182.29,3)</f>
        <v>182.29</v>
      </c>
      <c r="M548" s="24">
        <f>ROUND((K548*L548)/100,2)</f>
        <v>3.65</v>
      </c>
    </row>
    <row r="549" spans="1:13" ht="15.45" customHeight="1" thickBot="1" x14ac:dyDescent="0.35">
      <c r="A549" s="37"/>
      <c r="B549" s="37"/>
      <c r="C549" s="37"/>
      <c r="D549" s="38" t="s">
        <v>1759</v>
      </c>
      <c r="E549" s="37"/>
      <c r="F549" s="37"/>
      <c r="G549" s="37"/>
      <c r="H549" s="37"/>
      <c r="I549" s="37"/>
      <c r="J549" s="37"/>
      <c r="K549" s="39">
        <v>1</v>
      </c>
      <c r="L549" s="40">
        <f>ROUND((M546+M547+M548)*(1+M2/100),2)</f>
        <v>191.52</v>
      </c>
      <c r="M549" s="40">
        <f>ROUND(K549*L549,2)</f>
        <v>191.52</v>
      </c>
    </row>
    <row r="550" spans="1:13" ht="15.45" customHeight="1" thickBot="1" x14ac:dyDescent="0.35">
      <c r="A550" s="58" t="s">
        <v>1760</v>
      </c>
      <c r="B550" s="59" t="s">
        <v>1761</v>
      </c>
      <c r="C550" s="59" t="s">
        <v>1762</v>
      </c>
      <c r="D550" s="85" t="s">
        <v>1763</v>
      </c>
      <c r="E550" s="85"/>
      <c r="F550" s="85"/>
      <c r="G550" s="85"/>
      <c r="H550" s="85"/>
      <c r="I550" s="85"/>
      <c r="J550" s="85"/>
      <c r="K550" s="60">
        <f>ROUND(11,2)</f>
        <v>11</v>
      </c>
      <c r="L550" s="61">
        <f>L554</f>
        <v>19.72</v>
      </c>
      <c r="M550" s="61">
        <f>ROUND(K550*L550,2)</f>
        <v>216.92</v>
      </c>
    </row>
    <row r="551" spans="1:13" ht="30.6" customHeight="1" thickBot="1" x14ac:dyDescent="0.35">
      <c r="A551" s="5" t="s">
        <v>1764</v>
      </c>
      <c r="B551" s="5" t="s">
        <v>1765</v>
      </c>
      <c r="C551" s="5" t="s">
        <v>1766</v>
      </c>
      <c r="D551" s="82" t="s">
        <v>1767</v>
      </c>
      <c r="E551" s="82"/>
      <c r="F551" s="82"/>
      <c r="G551" s="82"/>
      <c r="H551" s="82"/>
      <c r="I551" s="82"/>
      <c r="J551" s="82"/>
      <c r="K551" s="23">
        <v>1</v>
      </c>
      <c r="L551" s="23">
        <f>ROUND(14.572,3)</f>
        <v>14.571999999999999</v>
      </c>
      <c r="M551" s="24">
        <f>ROUND(K551*L551,2)</f>
        <v>14.57</v>
      </c>
    </row>
    <row r="552" spans="1:13" ht="15.15" customHeight="1" thickBot="1" x14ac:dyDescent="0.35">
      <c r="A552" s="5" t="s">
        <v>1768</v>
      </c>
      <c r="B552" s="5" t="s">
        <v>1769</v>
      </c>
      <c r="C552" s="5" t="s">
        <v>1770</v>
      </c>
      <c r="D552" s="82" t="s">
        <v>1771</v>
      </c>
      <c r="E552" s="82"/>
      <c r="F552" s="82"/>
      <c r="G552" s="82"/>
      <c r="H552" s="82"/>
      <c r="I552" s="82"/>
      <c r="J552" s="82"/>
      <c r="K552" s="23">
        <v>0.14000000000000001</v>
      </c>
      <c r="L552" s="23">
        <f>ROUND(30,3)</f>
        <v>30</v>
      </c>
      <c r="M552" s="24">
        <f>ROUND(K552*L552,2)</f>
        <v>4.2</v>
      </c>
    </row>
    <row r="553" spans="1:13" ht="15.15" customHeight="1" thickBot="1" x14ac:dyDescent="0.35">
      <c r="A553" s="5" t="s">
        <v>1772</v>
      </c>
      <c r="B553" s="5"/>
      <c r="C553" s="5" t="s">
        <v>1773</v>
      </c>
      <c r="D553" s="82" t="s">
        <v>1774</v>
      </c>
      <c r="E553" s="82"/>
      <c r="F553" s="82"/>
      <c r="G553" s="82"/>
      <c r="H553" s="82"/>
      <c r="I553" s="82"/>
      <c r="J553" s="82"/>
      <c r="K553" s="23">
        <v>2</v>
      </c>
      <c r="L553" s="23">
        <f>ROUND(18.77,3)</f>
        <v>18.77</v>
      </c>
      <c r="M553" s="24">
        <f>ROUND((K553*L553)/100,2)</f>
        <v>0.38</v>
      </c>
    </row>
    <row r="554" spans="1:13" ht="15.45" customHeight="1" thickBot="1" x14ac:dyDescent="0.35">
      <c r="A554" s="37"/>
      <c r="B554" s="37"/>
      <c r="C554" s="37"/>
      <c r="D554" s="38" t="s">
        <v>1775</v>
      </c>
      <c r="E554" s="37"/>
      <c r="F554" s="37"/>
      <c r="G554" s="37"/>
      <c r="H554" s="37"/>
      <c r="I554" s="37"/>
      <c r="J554" s="37"/>
      <c r="K554" s="39">
        <v>11</v>
      </c>
      <c r="L554" s="40">
        <f>ROUND((M551+M552+M553)*(1+M2/100),2)</f>
        <v>19.72</v>
      </c>
      <c r="M554" s="40">
        <f>ROUND(K554*L554,2)</f>
        <v>216.92</v>
      </c>
    </row>
    <row r="555" spans="1:13" ht="15.45" customHeight="1" thickBot="1" x14ac:dyDescent="0.35">
      <c r="A555" s="58" t="s">
        <v>1776</v>
      </c>
      <c r="B555" s="59" t="s">
        <v>1777</v>
      </c>
      <c r="C555" s="59" t="s">
        <v>1778</v>
      </c>
      <c r="D555" s="85" t="s">
        <v>1779</v>
      </c>
      <c r="E555" s="85"/>
      <c r="F555" s="85"/>
      <c r="G555" s="85"/>
      <c r="H555" s="85"/>
      <c r="I555" s="85"/>
      <c r="J555" s="85"/>
      <c r="K555" s="60">
        <f>ROUND(1,2)</f>
        <v>1</v>
      </c>
      <c r="L555" s="61">
        <f>L559</f>
        <v>20</v>
      </c>
      <c r="M555" s="61">
        <f>ROUND(K555*L555,2)</f>
        <v>20</v>
      </c>
    </row>
    <row r="556" spans="1:13" ht="30.6" customHeight="1" thickBot="1" x14ac:dyDescent="0.35">
      <c r="A556" s="5" t="s">
        <v>1780</v>
      </c>
      <c r="B556" s="5" t="s">
        <v>1781</v>
      </c>
      <c r="C556" s="5" t="s">
        <v>1782</v>
      </c>
      <c r="D556" s="82" t="s">
        <v>1783</v>
      </c>
      <c r="E556" s="82"/>
      <c r="F556" s="82"/>
      <c r="G556" s="82"/>
      <c r="H556" s="82"/>
      <c r="I556" s="82"/>
      <c r="J556" s="82"/>
      <c r="K556" s="23">
        <v>1</v>
      </c>
      <c r="L556" s="23">
        <f>ROUND(14.844,3)</f>
        <v>14.843999999999999</v>
      </c>
      <c r="M556" s="24">
        <f>ROUND(K556*L556,2)</f>
        <v>14.84</v>
      </c>
    </row>
    <row r="557" spans="1:13" ht="15.15" customHeight="1" thickBot="1" x14ac:dyDescent="0.35">
      <c r="A557" s="5" t="s">
        <v>1784</v>
      </c>
      <c r="B557" s="5" t="s">
        <v>1785</v>
      </c>
      <c r="C557" s="5" t="s">
        <v>1786</v>
      </c>
      <c r="D557" s="82" t="s">
        <v>1787</v>
      </c>
      <c r="E557" s="82"/>
      <c r="F557" s="82"/>
      <c r="G557" s="82"/>
      <c r="H557" s="82"/>
      <c r="I557" s="82"/>
      <c r="J557" s="82"/>
      <c r="K557" s="23">
        <v>0.14000000000000001</v>
      </c>
      <c r="L557" s="23">
        <f>ROUND(30,3)</f>
        <v>30</v>
      </c>
      <c r="M557" s="24">
        <f>ROUND(K557*L557,2)</f>
        <v>4.2</v>
      </c>
    </row>
    <row r="558" spans="1:13" ht="15.15" customHeight="1" thickBot="1" x14ac:dyDescent="0.35">
      <c r="A558" s="5" t="s">
        <v>1788</v>
      </c>
      <c r="B558" s="5"/>
      <c r="C558" s="5" t="s">
        <v>1789</v>
      </c>
      <c r="D558" s="82" t="s">
        <v>1790</v>
      </c>
      <c r="E558" s="82"/>
      <c r="F558" s="82"/>
      <c r="G558" s="82"/>
      <c r="H558" s="82"/>
      <c r="I558" s="82"/>
      <c r="J558" s="82"/>
      <c r="K558" s="23">
        <v>2</v>
      </c>
      <c r="L558" s="23">
        <f>ROUND(19.04,3)</f>
        <v>19.04</v>
      </c>
      <c r="M558" s="24">
        <f>ROUND((K558*L558)/100,2)</f>
        <v>0.38</v>
      </c>
    </row>
    <row r="559" spans="1:13" ht="15.45" customHeight="1" thickBot="1" x14ac:dyDescent="0.35">
      <c r="A559" s="37"/>
      <c r="B559" s="37"/>
      <c r="C559" s="37"/>
      <c r="D559" s="38" t="s">
        <v>1791</v>
      </c>
      <c r="E559" s="37"/>
      <c r="F559" s="37"/>
      <c r="G559" s="37"/>
      <c r="H559" s="37"/>
      <c r="I559" s="37"/>
      <c r="J559" s="37"/>
      <c r="K559" s="39">
        <v>1</v>
      </c>
      <c r="L559" s="40">
        <f>ROUND((M556+M557+M558)*(1+M2/100),2)</f>
        <v>20</v>
      </c>
      <c r="M559" s="40">
        <f>ROUND(K559*L559,2)</f>
        <v>20</v>
      </c>
    </row>
    <row r="560" spans="1:13" ht="15.45" customHeight="1" thickBot="1" x14ac:dyDescent="0.35">
      <c r="A560" s="58" t="s">
        <v>1792</v>
      </c>
      <c r="B560" s="59" t="s">
        <v>1793</v>
      </c>
      <c r="C560" s="59" t="s">
        <v>1794</v>
      </c>
      <c r="D560" s="85" t="s">
        <v>1795</v>
      </c>
      <c r="E560" s="85"/>
      <c r="F560" s="85"/>
      <c r="G560" s="85"/>
      <c r="H560" s="85"/>
      <c r="I560" s="85"/>
      <c r="J560" s="85"/>
      <c r="K560" s="60">
        <f>ROUND(1,2)</f>
        <v>1</v>
      </c>
      <c r="L560" s="61">
        <f>L564</f>
        <v>52.87</v>
      </c>
      <c r="M560" s="61">
        <f>ROUND(K560*L560,2)</f>
        <v>52.87</v>
      </c>
    </row>
    <row r="561" spans="1:13" ht="30.6" customHeight="1" thickBot="1" x14ac:dyDescent="0.35">
      <c r="A561" s="5" t="s">
        <v>1796</v>
      </c>
      <c r="B561" s="5" t="s">
        <v>1797</v>
      </c>
      <c r="C561" s="5" t="s">
        <v>1798</v>
      </c>
      <c r="D561" s="82" t="s">
        <v>1799</v>
      </c>
      <c r="E561" s="82"/>
      <c r="F561" s="82"/>
      <c r="G561" s="82"/>
      <c r="H561" s="82"/>
      <c r="I561" s="82"/>
      <c r="J561" s="82"/>
      <c r="K561" s="23">
        <v>1</v>
      </c>
      <c r="L561" s="23">
        <f>ROUND(44.442,3)</f>
        <v>44.442</v>
      </c>
      <c r="M561" s="24">
        <f>ROUND(K561*L561,2)</f>
        <v>44.44</v>
      </c>
    </row>
    <row r="562" spans="1:13" ht="15.15" customHeight="1" thickBot="1" x14ac:dyDescent="0.35">
      <c r="A562" s="5" t="s">
        <v>1800</v>
      </c>
      <c r="B562" s="5" t="s">
        <v>1801</v>
      </c>
      <c r="C562" s="5" t="s">
        <v>1802</v>
      </c>
      <c r="D562" s="82" t="s">
        <v>1803</v>
      </c>
      <c r="E562" s="82"/>
      <c r="F562" s="82"/>
      <c r="G562" s="82"/>
      <c r="H562" s="82"/>
      <c r="I562" s="82"/>
      <c r="J562" s="82"/>
      <c r="K562" s="23">
        <v>0.19600000000000001</v>
      </c>
      <c r="L562" s="23">
        <f>ROUND(30,3)</f>
        <v>30</v>
      </c>
      <c r="M562" s="24">
        <f>ROUND(K562*L562,2)</f>
        <v>5.88</v>
      </c>
    </row>
    <row r="563" spans="1:13" ht="15.15" customHeight="1" thickBot="1" x14ac:dyDescent="0.35">
      <c r="A563" s="5" t="s">
        <v>1804</v>
      </c>
      <c r="B563" s="5"/>
      <c r="C563" s="5" t="s">
        <v>1805</v>
      </c>
      <c r="D563" s="82" t="s">
        <v>1806</v>
      </c>
      <c r="E563" s="82"/>
      <c r="F563" s="82"/>
      <c r="G563" s="82"/>
      <c r="H563" s="82"/>
      <c r="I563" s="82"/>
      <c r="J563" s="82"/>
      <c r="K563" s="23">
        <v>2</v>
      </c>
      <c r="L563" s="23">
        <f>ROUND(50.32,3)</f>
        <v>50.32</v>
      </c>
      <c r="M563" s="24">
        <f>ROUND((K563*L563)/100,2)</f>
        <v>1.01</v>
      </c>
    </row>
    <row r="564" spans="1:13" ht="15.45" customHeight="1" thickBot="1" x14ac:dyDescent="0.35">
      <c r="A564" s="37"/>
      <c r="B564" s="37"/>
      <c r="C564" s="37"/>
      <c r="D564" s="38" t="s">
        <v>1807</v>
      </c>
      <c r="E564" s="37"/>
      <c r="F564" s="37"/>
      <c r="G564" s="37"/>
      <c r="H564" s="37"/>
      <c r="I564" s="37"/>
      <c r="J564" s="37"/>
      <c r="K564" s="39">
        <v>1</v>
      </c>
      <c r="L564" s="40">
        <f>ROUND((M561+M562+M563)*(1+M2/100),2)</f>
        <v>52.87</v>
      </c>
      <c r="M564" s="40">
        <f>ROUND(K564*L564,2)</f>
        <v>52.87</v>
      </c>
    </row>
    <row r="565" spans="1:13" ht="15.45" customHeight="1" thickBot="1" x14ac:dyDescent="0.35">
      <c r="A565" s="58" t="s">
        <v>1808</v>
      </c>
      <c r="B565" s="59" t="s">
        <v>1809</v>
      </c>
      <c r="C565" s="59" t="s">
        <v>1810</v>
      </c>
      <c r="D565" s="85" t="s">
        <v>1811</v>
      </c>
      <c r="E565" s="85"/>
      <c r="F565" s="85"/>
      <c r="G565" s="85"/>
      <c r="H565" s="85"/>
      <c r="I565" s="85"/>
      <c r="J565" s="85"/>
      <c r="K565" s="60">
        <f>ROUND(2,2)</f>
        <v>2</v>
      </c>
      <c r="L565" s="61">
        <f>L569</f>
        <v>52.87</v>
      </c>
      <c r="M565" s="61">
        <f>ROUND(K565*L565,2)</f>
        <v>105.74</v>
      </c>
    </row>
    <row r="566" spans="1:13" ht="30.6" customHeight="1" thickBot="1" x14ac:dyDescent="0.35">
      <c r="A566" s="5" t="s">
        <v>1812</v>
      </c>
      <c r="B566" s="5" t="s">
        <v>1813</v>
      </c>
      <c r="C566" s="5" t="s">
        <v>1814</v>
      </c>
      <c r="D566" s="82" t="s">
        <v>1815</v>
      </c>
      <c r="E566" s="82"/>
      <c r="F566" s="82"/>
      <c r="G566" s="82"/>
      <c r="H566" s="82"/>
      <c r="I566" s="82"/>
      <c r="J566" s="82"/>
      <c r="K566" s="23">
        <v>1</v>
      </c>
      <c r="L566" s="23">
        <f>ROUND(44.442,3)</f>
        <v>44.442</v>
      </c>
      <c r="M566" s="24">
        <f>ROUND(K566*L566,2)</f>
        <v>44.44</v>
      </c>
    </row>
    <row r="567" spans="1:13" ht="15.15" customHeight="1" thickBot="1" x14ac:dyDescent="0.35">
      <c r="A567" s="5" t="s">
        <v>1816</v>
      </c>
      <c r="B567" s="5" t="s">
        <v>1817</v>
      </c>
      <c r="C567" s="5" t="s">
        <v>1818</v>
      </c>
      <c r="D567" s="82" t="s">
        <v>1819</v>
      </c>
      <c r="E567" s="82"/>
      <c r="F567" s="82"/>
      <c r="G567" s="82"/>
      <c r="H567" s="82"/>
      <c r="I567" s="82"/>
      <c r="J567" s="82"/>
      <c r="K567" s="23">
        <v>0.19600000000000001</v>
      </c>
      <c r="L567" s="23">
        <f>ROUND(30,3)</f>
        <v>30</v>
      </c>
      <c r="M567" s="24">
        <f>ROUND(K567*L567,2)</f>
        <v>5.88</v>
      </c>
    </row>
    <row r="568" spans="1:13" ht="15.15" customHeight="1" thickBot="1" x14ac:dyDescent="0.35">
      <c r="A568" s="5" t="s">
        <v>1820</v>
      </c>
      <c r="B568" s="5"/>
      <c r="C568" s="5" t="s">
        <v>1821</v>
      </c>
      <c r="D568" s="82" t="s">
        <v>1822</v>
      </c>
      <c r="E568" s="82"/>
      <c r="F568" s="82"/>
      <c r="G568" s="82"/>
      <c r="H568" s="82"/>
      <c r="I568" s="82"/>
      <c r="J568" s="82"/>
      <c r="K568" s="23">
        <v>2</v>
      </c>
      <c r="L568" s="23">
        <f>ROUND(50.32,3)</f>
        <v>50.32</v>
      </c>
      <c r="M568" s="24">
        <f>ROUND((K568*L568)/100,2)</f>
        <v>1.01</v>
      </c>
    </row>
    <row r="569" spans="1:13" ht="15.45" customHeight="1" thickBot="1" x14ac:dyDescent="0.35">
      <c r="A569" s="37"/>
      <c r="B569" s="37"/>
      <c r="C569" s="37"/>
      <c r="D569" s="38" t="s">
        <v>1823</v>
      </c>
      <c r="E569" s="37"/>
      <c r="F569" s="37"/>
      <c r="G569" s="37"/>
      <c r="H569" s="37"/>
      <c r="I569" s="37"/>
      <c r="J569" s="37"/>
      <c r="K569" s="39">
        <v>2</v>
      </c>
      <c r="L569" s="40">
        <f>ROUND((M566+M567+M568)*(1+M2/100),2)</f>
        <v>52.87</v>
      </c>
      <c r="M569" s="40">
        <f>ROUND(K569*L569,2)</f>
        <v>105.74</v>
      </c>
    </row>
    <row r="570" spans="1:13" ht="15.45" customHeight="1" thickBot="1" x14ac:dyDescent="0.35">
      <c r="A570" s="58" t="s">
        <v>1824</v>
      </c>
      <c r="B570" s="59" t="s">
        <v>1825</v>
      </c>
      <c r="C570" s="59" t="s">
        <v>1826</v>
      </c>
      <c r="D570" s="85" t="s">
        <v>1827</v>
      </c>
      <c r="E570" s="85"/>
      <c r="F570" s="85"/>
      <c r="G570" s="85"/>
      <c r="H570" s="85"/>
      <c r="I570" s="85"/>
      <c r="J570" s="85"/>
      <c r="K570" s="60">
        <f>ROUND(4,2)</f>
        <v>4</v>
      </c>
      <c r="L570" s="61">
        <f>L574</f>
        <v>38.19</v>
      </c>
      <c r="M570" s="61">
        <f>ROUND(K570*L570,2)</f>
        <v>152.76</v>
      </c>
    </row>
    <row r="571" spans="1:13" ht="30.6" customHeight="1" thickBot="1" x14ac:dyDescent="0.35">
      <c r="A571" s="5" t="s">
        <v>1828</v>
      </c>
      <c r="B571" s="5" t="s">
        <v>1829</v>
      </c>
      <c r="C571" s="5" t="s">
        <v>1830</v>
      </c>
      <c r="D571" s="82" t="s">
        <v>1831</v>
      </c>
      <c r="E571" s="82"/>
      <c r="F571" s="82"/>
      <c r="G571" s="82"/>
      <c r="H571" s="82"/>
      <c r="I571" s="82"/>
      <c r="J571" s="82"/>
      <c r="K571" s="23">
        <v>1</v>
      </c>
      <c r="L571" s="23">
        <f>ROUND(32.151,3)</f>
        <v>32.151000000000003</v>
      </c>
      <c r="M571" s="24">
        <f>ROUND(K571*L571,2)</f>
        <v>32.15</v>
      </c>
    </row>
    <row r="572" spans="1:13" ht="15.15" customHeight="1" thickBot="1" x14ac:dyDescent="0.35">
      <c r="A572" s="5" t="s">
        <v>1832</v>
      </c>
      <c r="B572" s="5" t="s">
        <v>1833</v>
      </c>
      <c r="C572" s="5" t="s">
        <v>1834</v>
      </c>
      <c r="D572" s="82" t="s">
        <v>1835</v>
      </c>
      <c r="E572" s="82"/>
      <c r="F572" s="82"/>
      <c r="G572" s="82"/>
      <c r="H572" s="82"/>
      <c r="I572" s="82"/>
      <c r="J572" s="82"/>
      <c r="K572" s="23">
        <v>0.14000000000000001</v>
      </c>
      <c r="L572" s="23">
        <f>ROUND(30,3)</f>
        <v>30</v>
      </c>
      <c r="M572" s="24">
        <f>ROUND(K572*L572,2)</f>
        <v>4.2</v>
      </c>
    </row>
    <row r="573" spans="1:13" ht="15.15" customHeight="1" thickBot="1" x14ac:dyDescent="0.35">
      <c r="A573" s="5" t="s">
        <v>1836</v>
      </c>
      <c r="B573" s="5"/>
      <c r="C573" s="5" t="s">
        <v>1837</v>
      </c>
      <c r="D573" s="82" t="s">
        <v>1838</v>
      </c>
      <c r="E573" s="82"/>
      <c r="F573" s="82"/>
      <c r="G573" s="82"/>
      <c r="H573" s="82"/>
      <c r="I573" s="82"/>
      <c r="J573" s="82"/>
      <c r="K573" s="23">
        <v>2</v>
      </c>
      <c r="L573" s="23">
        <f>ROUND(36.35,3)</f>
        <v>36.35</v>
      </c>
      <c r="M573" s="24">
        <f>ROUND((K573*L573)/100,2)</f>
        <v>0.73</v>
      </c>
    </row>
    <row r="574" spans="1:13" ht="15.45" customHeight="1" thickBot="1" x14ac:dyDescent="0.35">
      <c r="A574" s="37"/>
      <c r="B574" s="37"/>
      <c r="C574" s="37"/>
      <c r="D574" s="38" t="s">
        <v>1839</v>
      </c>
      <c r="E574" s="37"/>
      <c r="F574" s="37"/>
      <c r="G574" s="37"/>
      <c r="H574" s="37"/>
      <c r="I574" s="37"/>
      <c r="J574" s="37"/>
      <c r="K574" s="39">
        <v>4</v>
      </c>
      <c r="L574" s="40">
        <f>ROUND((M571+M572+M573)*(1+M2/100),2)</f>
        <v>38.19</v>
      </c>
      <c r="M574" s="40">
        <f>ROUND(K574*L574,2)</f>
        <v>152.76</v>
      </c>
    </row>
    <row r="575" spans="1:13" ht="15.45" customHeight="1" thickBot="1" x14ac:dyDescent="0.35">
      <c r="A575" s="58" t="s">
        <v>1840</v>
      </c>
      <c r="B575" s="59" t="s">
        <v>1841</v>
      </c>
      <c r="C575" s="59" t="s">
        <v>1842</v>
      </c>
      <c r="D575" s="85" t="s">
        <v>1843</v>
      </c>
      <c r="E575" s="85"/>
      <c r="F575" s="85"/>
      <c r="G575" s="85"/>
      <c r="H575" s="85"/>
      <c r="I575" s="85"/>
      <c r="J575" s="85"/>
      <c r="K575" s="60">
        <f>ROUND(2,2)</f>
        <v>2</v>
      </c>
      <c r="L575" s="61">
        <f>L579</f>
        <v>137.79</v>
      </c>
      <c r="M575" s="61">
        <f>ROUND(K575*L575,2)</f>
        <v>275.58</v>
      </c>
    </row>
    <row r="576" spans="1:13" ht="30.6" customHeight="1" thickBot="1" x14ac:dyDescent="0.35">
      <c r="A576" s="5" t="s">
        <v>1844</v>
      </c>
      <c r="B576" s="5" t="s">
        <v>1845</v>
      </c>
      <c r="C576" s="5" t="s">
        <v>1846</v>
      </c>
      <c r="D576" s="82" t="s">
        <v>1847</v>
      </c>
      <c r="E576" s="82"/>
      <c r="F576" s="82"/>
      <c r="G576" s="82"/>
      <c r="H576" s="82"/>
      <c r="I576" s="82"/>
      <c r="J576" s="82"/>
      <c r="K576" s="23">
        <v>1</v>
      </c>
      <c r="L576" s="23">
        <f>ROUND(125.283,3)</f>
        <v>125.283</v>
      </c>
      <c r="M576" s="24">
        <f>ROUND(K576*L576,2)</f>
        <v>125.28</v>
      </c>
    </row>
    <row r="577" spans="1:13" ht="15.15" customHeight="1" thickBot="1" x14ac:dyDescent="0.35">
      <c r="A577" s="5" t="s">
        <v>1848</v>
      </c>
      <c r="B577" s="5" t="s">
        <v>1849</v>
      </c>
      <c r="C577" s="5" t="s">
        <v>1850</v>
      </c>
      <c r="D577" s="82" t="s">
        <v>1851</v>
      </c>
      <c r="E577" s="82"/>
      <c r="F577" s="82"/>
      <c r="G577" s="82"/>
      <c r="H577" s="82"/>
      <c r="I577" s="82"/>
      <c r="J577" s="82"/>
      <c r="K577" s="23">
        <v>0.19600000000000001</v>
      </c>
      <c r="L577" s="23">
        <f>ROUND(30,3)</f>
        <v>30</v>
      </c>
      <c r="M577" s="24">
        <f>ROUND(K577*L577,2)</f>
        <v>5.88</v>
      </c>
    </row>
    <row r="578" spans="1:13" ht="15.15" customHeight="1" thickBot="1" x14ac:dyDescent="0.35">
      <c r="A578" s="5" t="s">
        <v>1852</v>
      </c>
      <c r="B578" s="5"/>
      <c r="C578" s="5" t="s">
        <v>1853</v>
      </c>
      <c r="D578" s="82" t="s">
        <v>1854</v>
      </c>
      <c r="E578" s="82"/>
      <c r="F578" s="82"/>
      <c r="G578" s="82"/>
      <c r="H578" s="82"/>
      <c r="I578" s="82"/>
      <c r="J578" s="82"/>
      <c r="K578" s="23">
        <v>2</v>
      </c>
      <c r="L578" s="23">
        <f>ROUND(131.16,3)</f>
        <v>131.16</v>
      </c>
      <c r="M578" s="24">
        <f>ROUND((K578*L578)/100,2)</f>
        <v>2.62</v>
      </c>
    </row>
    <row r="579" spans="1:13" ht="15.45" customHeight="1" thickBot="1" x14ac:dyDescent="0.35">
      <c r="A579" s="37"/>
      <c r="B579" s="37"/>
      <c r="C579" s="37"/>
      <c r="D579" s="38" t="s">
        <v>1855</v>
      </c>
      <c r="E579" s="37"/>
      <c r="F579" s="37"/>
      <c r="G579" s="37"/>
      <c r="H579" s="37"/>
      <c r="I579" s="37"/>
      <c r="J579" s="37"/>
      <c r="K579" s="39">
        <v>2</v>
      </c>
      <c r="L579" s="40">
        <f>ROUND((M576+M577+M578)*(1+M2/100),2)</f>
        <v>137.79</v>
      </c>
      <c r="M579" s="40">
        <f>ROUND(K579*L579,2)</f>
        <v>275.58</v>
      </c>
    </row>
    <row r="580" spans="1:13" ht="15.45" customHeight="1" thickBot="1" x14ac:dyDescent="0.35">
      <c r="A580" s="58" t="s">
        <v>1856</v>
      </c>
      <c r="B580" s="59" t="s">
        <v>1857</v>
      </c>
      <c r="C580" s="59" t="s">
        <v>1858</v>
      </c>
      <c r="D580" s="85" t="s">
        <v>1859</v>
      </c>
      <c r="E580" s="85"/>
      <c r="F580" s="85"/>
      <c r="G580" s="85"/>
      <c r="H580" s="85"/>
      <c r="I580" s="85"/>
      <c r="J580" s="85"/>
      <c r="K580" s="60">
        <f>ROUND(6,2)</f>
        <v>6</v>
      </c>
      <c r="L580" s="61">
        <f>L584</f>
        <v>29.8</v>
      </c>
      <c r="M580" s="61">
        <f>ROUND(K580*L580,2)</f>
        <v>178.8</v>
      </c>
    </row>
    <row r="581" spans="1:13" ht="21.3" customHeight="1" thickBot="1" x14ac:dyDescent="0.35">
      <c r="A581" s="5" t="s">
        <v>1860</v>
      </c>
      <c r="B581" s="5" t="s">
        <v>1861</v>
      </c>
      <c r="C581" s="5" t="s">
        <v>1862</v>
      </c>
      <c r="D581" s="82" t="s">
        <v>1863</v>
      </c>
      <c r="E581" s="82"/>
      <c r="F581" s="82"/>
      <c r="G581" s="82"/>
      <c r="H581" s="82"/>
      <c r="I581" s="82"/>
      <c r="J581" s="82"/>
      <c r="K581" s="23">
        <v>1</v>
      </c>
      <c r="L581" s="23">
        <f>ROUND(24.158,3)</f>
        <v>24.158000000000001</v>
      </c>
      <c r="M581" s="24">
        <f>ROUND(K581*L581,2)</f>
        <v>24.16</v>
      </c>
    </row>
    <row r="582" spans="1:13" ht="15.15" customHeight="1" thickBot="1" x14ac:dyDescent="0.35">
      <c r="A582" s="5" t="s">
        <v>1864</v>
      </c>
      <c r="B582" s="5" t="s">
        <v>1865</v>
      </c>
      <c r="C582" s="5" t="s">
        <v>1866</v>
      </c>
      <c r="D582" s="82" t="s">
        <v>1867</v>
      </c>
      <c r="E582" s="82"/>
      <c r="F582" s="82"/>
      <c r="G582" s="82"/>
      <c r="H582" s="82"/>
      <c r="I582" s="82"/>
      <c r="J582" s="82"/>
      <c r="K582" s="23">
        <v>0.14000000000000001</v>
      </c>
      <c r="L582" s="23">
        <f>ROUND(30,3)</f>
        <v>30</v>
      </c>
      <c r="M582" s="24">
        <f>ROUND(K582*L582,2)</f>
        <v>4.2</v>
      </c>
    </row>
    <row r="583" spans="1:13" ht="15.15" customHeight="1" thickBot="1" x14ac:dyDescent="0.35">
      <c r="A583" s="5" t="s">
        <v>1868</v>
      </c>
      <c r="B583" s="5"/>
      <c r="C583" s="5" t="s">
        <v>1869</v>
      </c>
      <c r="D583" s="82" t="s">
        <v>1870</v>
      </c>
      <c r="E583" s="82"/>
      <c r="F583" s="82"/>
      <c r="G583" s="82"/>
      <c r="H583" s="82"/>
      <c r="I583" s="82"/>
      <c r="J583" s="82"/>
      <c r="K583" s="23">
        <v>2</v>
      </c>
      <c r="L583" s="23">
        <f>ROUND(28.36,3)</f>
        <v>28.36</v>
      </c>
      <c r="M583" s="24">
        <f>ROUND((K583*L583)/100,2)</f>
        <v>0.56999999999999995</v>
      </c>
    </row>
    <row r="584" spans="1:13" ht="15.45" customHeight="1" thickBot="1" x14ac:dyDescent="0.35">
      <c r="A584" s="37"/>
      <c r="B584" s="37"/>
      <c r="C584" s="37"/>
      <c r="D584" s="38" t="s">
        <v>1871</v>
      </c>
      <c r="E584" s="37"/>
      <c r="F584" s="37"/>
      <c r="G584" s="37"/>
      <c r="H584" s="37"/>
      <c r="I584" s="37"/>
      <c r="J584" s="37"/>
      <c r="K584" s="39">
        <v>6</v>
      </c>
      <c r="L584" s="40">
        <f>ROUND((M581+M582+M583)*(1+M2/100),2)</f>
        <v>29.8</v>
      </c>
      <c r="M584" s="40">
        <f>ROUND(K584*L584,2)</f>
        <v>178.8</v>
      </c>
    </row>
    <row r="585" spans="1:13" ht="15.45" customHeight="1" thickBot="1" x14ac:dyDescent="0.35">
      <c r="A585" s="58" t="s">
        <v>1872</v>
      </c>
      <c r="B585" s="59" t="s">
        <v>1873</v>
      </c>
      <c r="C585" s="59" t="s">
        <v>1874</v>
      </c>
      <c r="D585" s="85" t="s">
        <v>1875</v>
      </c>
      <c r="E585" s="85"/>
      <c r="F585" s="85"/>
      <c r="G585" s="85"/>
      <c r="H585" s="85"/>
      <c r="I585" s="85"/>
      <c r="J585" s="85"/>
      <c r="K585" s="60">
        <f>ROUND(1,2)</f>
        <v>1</v>
      </c>
      <c r="L585" s="61">
        <f>L589</f>
        <v>89.9</v>
      </c>
      <c r="M585" s="61">
        <f>ROUND(K585*L585,2)</f>
        <v>89.9</v>
      </c>
    </row>
    <row r="586" spans="1:13" ht="15.15" customHeight="1" thickBot="1" x14ac:dyDescent="0.35">
      <c r="A586" s="5" t="s">
        <v>1876</v>
      </c>
      <c r="B586" s="5" t="s">
        <v>1877</v>
      </c>
      <c r="C586" s="5" t="s">
        <v>1878</v>
      </c>
      <c r="D586" s="82" t="s">
        <v>1879</v>
      </c>
      <c r="E586" s="82"/>
      <c r="F586" s="82"/>
      <c r="G586" s="82"/>
      <c r="H586" s="82"/>
      <c r="I586" s="82"/>
      <c r="J586" s="82"/>
      <c r="K586" s="23">
        <v>1</v>
      </c>
      <c r="L586" s="23">
        <f>ROUND(81.37,3)</f>
        <v>81.37</v>
      </c>
      <c r="M586" s="24">
        <f>ROUND(K586*L586,2)</f>
        <v>81.37</v>
      </c>
    </row>
    <row r="587" spans="1:13" ht="15.15" customHeight="1" thickBot="1" x14ac:dyDescent="0.35">
      <c r="A587" s="5" t="s">
        <v>1880</v>
      </c>
      <c r="B587" s="5" t="s">
        <v>1881</v>
      </c>
      <c r="C587" s="5" t="s">
        <v>1882</v>
      </c>
      <c r="D587" s="82" t="s">
        <v>1883</v>
      </c>
      <c r="E587" s="82"/>
      <c r="F587" s="82"/>
      <c r="G587" s="82"/>
      <c r="H587" s="82"/>
      <c r="I587" s="82"/>
      <c r="J587" s="82"/>
      <c r="K587" s="23">
        <v>0.14000000000000001</v>
      </c>
      <c r="L587" s="23">
        <f>ROUND(30,3)</f>
        <v>30</v>
      </c>
      <c r="M587" s="24">
        <f>ROUND(K587*L587,2)</f>
        <v>4.2</v>
      </c>
    </row>
    <row r="588" spans="1:13" ht="15.15" customHeight="1" thickBot="1" x14ac:dyDescent="0.35">
      <c r="A588" s="5" t="s">
        <v>1884</v>
      </c>
      <c r="B588" s="5"/>
      <c r="C588" s="5" t="s">
        <v>1885</v>
      </c>
      <c r="D588" s="82" t="s">
        <v>1886</v>
      </c>
      <c r="E588" s="82"/>
      <c r="F588" s="82"/>
      <c r="G588" s="82"/>
      <c r="H588" s="82"/>
      <c r="I588" s="82"/>
      <c r="J588" s="82"/>
      <c r="K588" s="23">
        <v>2</v>
      </c>
      <c r="L588" s="23">
        <f>ROUND(85.57,3)</f>
        <v>85.57</v>
      </c>
      <c r="M588" s="24">
        <f>ROUND((K588*L588)/100,2)</f>
        <v>1.71</v>
      </c>
    </row>
    <row r="589" spans="1:13" ht="15.45" customHeight="1" thickBot="1" x14ac:dyDescent="0.35">
      <c r="A589" s="37"/>
      <c r="B589" s="37"/>
      <c r="C589" s="37"/>
      <c r="D589" s="38" t="s">
        <v>1887</v>
      </c>
      <c r="E589" s="37"/>
      <c r="F589" s="37"/>
      <c r="G589" s="37"/>
      <c r="H589" s="37"/>
      <c r="I589" s="37"/>
      <c r="J589" s="37"/>
      <c r="K589" s="39">
        <v>1</v>
      </c>
      <c r="L589" s="40">
        <f>ROUND((M586+M587+M588)*(1+M2/100),2)</f>
        <v>89.9</v>
      </c>
      <c r="M589" s="40">
        <f>ROUND(K589*L589,2)</f>
        <v>89.9</v>
      </c>
    </row>
    <row r="590" spans="1:13" ht="15.45" customHeight="1" thickBot="1" x14ac:dyDescent="0.35">
      <c r="A590" s="41"/>
      <c r="B590" s="41"/>
      <c r="C590" s="41"/>
      <c r="D590" s="42" t="s">
        <v>1888</v>
      </c>
      <c r="E590" s="43"/>
      <c r="F590" s="43"/>
      <c r="G590" s="43"/>
      <c r="H590" s="43"/>
      <c r="I590" s="43"/>
      <c r="J590" s="43"/>
      <c r="K590" s="43"/>
      <c r="L590" s="44">
        <f>M537+M545+M550+M555+M560+M565+M570+M575+M580+M585</f>
        <v>1645.81</v>
      </c>
      <c r="M590" s="44">
        <f>ROUND(L590,2)</f>
        <v>1645.81</v>
      </c>
    </row>
    <row r="591" spans="1:13" ht="15.45" customHeight="1" thickBot="1" x14ac:dyDescent="0.35">
      <c r="A591" s="54" t="s">
        <v>1889</v>
      </c>
      <c r="B591" s="54" t="s">
        <v>1890</v>
      </c>
      <c r="C591" s="55"/>
      <c r="D591" s="84" t="s">
        <v>1891</v>
      </c>
      <c r="E591" s="84"/>
      <c r="F591" s="84"/>
      <c r="G591" s="84"/>
      <c r="H591" s="84"/>
      <c r="I591" s="84"/>
      <c r="J591" s="84"/>
      <c r="K591" s="55"/>
      <c r="L591" s="56">
        <f>L635</f>
        <v>1505.5500000000002</v>
      </c>
      <c r="M591" s="56">
        <f>ROUND(L591,2)</f>
        <v>1505.55</v>
      </c>
    </row>
    <row r="592" spans="1:13" ht="15.45" customHeight="1" thickBot="1" x14ac:dyDescent="0.35">
      <c r="A592" s="10" t="s">
        <v>1892</v>
      </c>
      <c r="B592" s="5" t="s">
        <v>1893</v>
      </c>
      <c r="C592" s="5" t="s">
        <v>1894</v>
      </c>
      <c r="D592" s="82" t="s">
        <v>1895</v>
      </c>
      <c r="E592" s="82"/>
      <c r="F592" s="82"/>
      <c r="G592" s="82"/>
      <c r="H592" s="82"/>
      <c r="I592" s="82"/>
      <c r="J592" s="82"/>
      <c r="K592" s="23">
        <f>SUM(K594:K604)</f>
        <v>810</v>
      </c>
      <c r="L592" s="24">
        <f>L609</f>
        <v>1.29</v>
      </c>
      <c r="M592" s="24">
        <f>ROUND(K592*L592,2)</f>
        <v>1044.9000000000001</v>
      </c>
    </row>
    <row r="593" spans="1:13" ht="15.15" customHeight="1" thickBot="1" x14ac:dyDescent="0.35">
      <c r="A593" s="25"/>
      <c r="B593" s="25"/>
      <c r="C593" s="25"/>
      <c r="D593" s="25"/>
      <c r="E593" s="26"/>
      <c r="F593" s="28" t="s">
        <v>1896</v>
      </c>
      <c r="G593" s="28" t="s">
        <v>1897</v>
      </c>
      <c r="H593" s="28" t="s">
        <v>1898</v>
      </c>
      <c r="I593" s="28" t="s">
        <v>1899</v>
      </c>
      <c r="J593" s="28" t="s">
        <v>1900</v>
      </c>
      <c r="K593" s="28" t="s">
        <v>1901</v>
      </c>
      <c r="L593" s="25"/>
      <c r="M593" s="25"/>
    </row>
    <row r="594" spans="1:13" ht="15.15" customHeight="1" thickBot="1" x14ac:dyDescent="0.35">
      <c r="A594" s="25"/>
      <c r="B594" s="25"/>
      <c r="C594" s="25"/>
      <c r="D594" s="29"/>
      <c r="E594" s="30" t="s">
        <v>1902</v>
      </c>
      <c r="F594" s="31">
        <v>1</v>
      </c>
      <c r="G594" s="32">
        <v>85</v>
      </c>
      <c r="H594" s="32"/>
      <c r="I594" s="32"/>
      <c r="J594" s="34">
        <f t="shared" ref="J594:J604" si="28">ROUND(F594*G594,3)</f>
        <v>85</v>
      </c>
      <c r="K594" s="57"/>
      <c r="L594" s="25"/>
      <c r="M594" s="25"/>
    </row>
    <row r="595" spans="1:13" ht="15.15" customHeight="1" thickBot="1" x14ac:dyDescent="0.35">
      <c r="A595" s="25"/>
      <c r="B595" s="25"/>
      <c r="C595" s="25"/>
      <c r="D595" s="29"/>
      <c r="E595" s="5" t="s">
        <v>1903</v>
      </c>
      <c r="F595" s="3">
        <v>1</v>
      </c>
      <c r="G595" s="23">
        <v>75</v>
      </c>
      <c r="H595" s="23"/>
      <c r="I595" s="23"/>
      <c r="J595" s="33">
        <f t="shared" si="28"/>
        <v>75</v>
      </c>
      <c r="K595" s="25"/>
      <c r="L595" s="25"/>
      <c r="M595" s="25"/>
    </row>
    <row r="596" spans="1:13" ht="15.15" customHeight="1" thickBot="1" x14ac:dyDescent="0.35">
      <c r="A596" s="25"/>
      <c r="B596" s="25"/>
      <c r="C596" s="25"/>
      <c r="D596" s="29"/>
      <c r="E596" s="5" t="s">
        <v>1904</v>
      </c>
      <c r="F596" s="3">
        <v>1</v>
      </c>
      <c r="G596" s="23">
        <v>80</v>
      </c>
      <c r="H596" s="23"/>
      <c r="I596" s="23"/>
      <c r="J596" s="33">
        <f t="shared" si="28"/>
        <v>80</v>
      </c>
      <c r="K596" s="25"/>
      <c r="L596" s="25"/>
      <c r="M596" s="25"/>
    </row>
    <row r="597" spans="1:13" ht="15.15" customHeight="1" thickBot="1" x14ac:dyDescent="0.35">
      <c r="A597" s="25"/>
      <c r="B597" s="25"/>
      <c r="C597" s="25"/>
      <c r="D597" s="29"/>
      <c r="E597" s="5" t="s">
        <v>1905</v>
      </c>
      <c r="F597" s="3">
        <v>1</v>
      </c>
      <c r="G597" s="23">
        <v>115</v>
      </c>
      <c r="H597" s="23"/>
      <c r="I597" s="23"/>
      <c r="J597" s="33">
        <f t="shared" si="28"/>
        <v>115</v>
      </c>
      <c r="K597" s="25"/>
      <c r="L597" s="25"/>
      <c r="M597" s="25"/>
    </row>
    <row r="598" spans="1:13" ht="15.15" customHeight="1" thickBot="1" x14ac:dyDescent="0.35">
      <c r="A598" s="25"/>
      <c r="B598" s="25"/>
      <c r="C598" s="25"/>
      <c r="D598" s="29"/>
      <c r="E598" s="5" t="s">
        <v>1906</v>
      </c>
      <c r="F598" s="3">
        <v>1</v>
      </c>
      <c r="G598" s="23">
        <v>70</v>
      </c>
      <c r="H598" s="23"/>
      <c r="I598" s="23"/>
      <c r="J598" s="33">
        <f t="shared" si="28"/>
        <v>70</v>
      </c>
      <c r="K598" s="25"/>
      <c r="L598" s="25"/>
      <c r="M598" s="25"/>
    </row>
    <row r="599" spans="1:13" ht="15.15" customHeight="1" thickBot="1" x14ac:dyDescent="0.35">
      <c r="A599" s="25"/>
      <c r="B599" s="25"/>
      <c r="C599" s="25"/>
      <c r="D599" s="29"/>
      <c r="E599" s="5" t="s">
        <v>1907</v>
      </c>
      <c r="F599" s="3">
        <v>1</v>
      </c>
      <c r="G599" s="23">
        <v>105</v>
      </c>
      <c r="H599" s="23"/>
      <c r="I599" s="23"/>
      <c r="J599" s="33">
        <f t="shared" si="28"/>
        <v>105</v>
      </c>
      <c r="K599" s="25"/>
      <c r="L599" s="25"/>
      <c r="M599" s="25"/>
    </row>
    <row r="600" spans="1:13" ht="15.15" customHeight="1" thickBot="1" x14ac:dyDescent="0.35">
      <c r="A600" s="25"/>
      <c r="B600" s="25"/>
      <c r="C600" s="25"/>
      <c r="D600" s="29"/>
      <c r="E600" s="5" t="s">
        <v>1908</v>
      </c>
      <c r="F600" s="3">
        <v>1</v>
      </c>
      <c r="G600" s="23">
        <v>15</v>
      </c>
      <c r="H600" s="23"/>
      <c r="I600" s="23"/>
      <c r="J600" s="33">
        <f t="shared" si="28"/>
        <v>15</v>
      </c>
      <c r="K600" s="25"/>
      <c r="L600" s="25"/>
      <c r="M600" s="25"/>
    </row>
    <row r="601" spans="1:13" ht="15.15" customHeight="1" thickBot="1" x14ac:dyDescent="0.35">
      <c r="A601" s="25"/>
      <c r="B601" s="25"/>
      <c r="C601" s="25"/>
      <c r="D601" s="29"/>
      <c r="E601" s="5" t="s">
        <v>1909</v>
      </c>
      <c r="F601" s="3">
        <v>1</v>
      </c>
      <c r="G601" s="23">
        <v>140</v>
      </c>
      <c r="H601" s="23"/>
      <c r="I601" s="23"/>
      <c r="J601" s="33">
        <f t="shared" si="28"/>
        <v>140</v>
      </c>
      <c r="K601" s="25"/>
      <c r="L601" s="25"/>
      <c r="M601" s="25"/>
    </row>
    <row r="602" spans="1:13" ht="15.15" customHeight="1" thickBot="1" x14ac:dyDescent="0.35">
      <c r="A602" s="25"/>
      <c r="B602" s="25"/>
      <c r="C602" s="25"/>
      <c r="D602" s="29"/>
      <c r="E602" s="5" t="s">
        <v>1910</v>
      </c>
      <c r="F602" s="3">
        <v>1</v>
      </c>
      <c r="G602" s="23">
        <v>105</v>
      </c>
      <c r="H602" s="23"/>
      <c r="I602" s="23"/>
      <c r="J602" s="33">
        <f t="shared" si="28"/>
        <v>105</v>
      </c>
      <c r="K602" s="25"/>
      <c r="L602" s="25"/>
      <c r="M602" s="25"/>
    </row>
    <row r="603" spans="1:13" ht="15.15" customHeight="1" thickBot="1" x14ac:dyDescent="0.35">
      <c r="A603" s="25"/>
      <c r="B603" s="25"/>
      <c r="C603" s="25"/>
      <c r="D603" s="29"/>
      <c r="E603" s="5" t="s">
        <v>1911</v>
      </c>
      <c r="F603" s="3">
        <v>1</v>
      </c>
      <c r="G603" s="23">
        <v>10</v>
      </c>
      <c r="H603" s="23"/>
      <c r="I603" s="23"/>
      <c r="J603" s="33">
        <f t="shared" si="28"/>
        <v>10</v>
      </c>
      <c r="K603" s="25"/>
      <c r="L603" s="25"/>
      <c r="M603" s="25"/>
    </row>
    <row r="604" spans="1:13" ht="15.15" customHeight="1" thickBot="1" x14ac:dyDescent="0.35">
      <c r="A604" s="25"/>
      <c r="B604" s="25"/>
      <c r="C604" s="25"/>
      <c r="D604" s="29"/>
      <c r="E604" s="5" t="s">
        <v>1912</v>
      </c>
      <c r="F604" s="3">
        <v>1</v>
      </c>
      <c r="G604" s="23">
        <v>10</v>
      </c>
      <c r="H604" s="23"/>
      <c r="I604" s="23"/>
      <c r="J604" s="33">
        <f t="shared" si="28"/>
        <v>10</v>
      </c>
      <c r="K604" s="35">
        <f>SUM(J594:J604)</f>
        <v>810</v>
      </c>
      <c r="L604" s="25"/>
      <c r="M604" s="25"/>
    </row>
    <row r="605" spans="1:13" ht="39.75" customHeight="1" thickBot="1" x14ac:dyDescent="0.35">
      <c r="A605" s="5" t="s">
        <v>1913</v>
      </c>
      <c r="B605" s="5" t="s">
        <v>1914</v>
      </c>
      <c r="C605" s="5" t="s">
        <v>1915</v>
      </c>
      <c r="D605" s="82" t="s">
        <v>1916</v>
      </c>
      <c r="E605" s="82"/>
      <c r="F605" s="82"/>
      <c r="G605" s="82"/>
      <c r="H605" s="82"/>
      <c r="I605" s="82"/>
      <c r="J605" s="82"/>
      <c r="K605" s="23">
        <v>1</v>
      </c>
      <c r="L605" s="23">
        <f>ROUND(0.778,3)</f>
        <v>0.77800000000000002</v>
      </c>
      <c r="M605" s="24">
        <f>ROUND(K605*L605,2)</f>
        <v>0.78</v>
      </c>
    </row>
    <row r="606" spans="1:13" ht="15.15" customHeight="1" thickBot="1" x14ac:dyDescent="0.35">
      <c r="A606" s="5" t="s">
        <v>1917</v>
      </c>
      <c r="B606" s="5" t="s">
        <v>1918</v>
      </c>
      <c r="C606" s="5" t="s">
        <v>1919</v>
      </c>
      <c r="D606" s="82" t="s">
        <v>1920</v>
      </c>
      <c r="E606" s="82"/>
      <c r="F606" s="82"/>
      <c r="G606" s="82"/>
      <c r="H606" s="82"/>
      <c r="I606" s="82"/>
      <c r="J606" s="82"/>
      <c r="K606" s="23">
        <v>8.0000000000000002E-3</v>
      </c>
      <c r="L606" s="23">
        <f>ROUND(30,3)</f>
        <v>30</v>
      </c>
      <c r="M606" s="24">
        <f>ROUND(K606*L606,2)</f>
        <v>0.24</v>
      </c>
    </row>
    <row r="607" spans="1:13" ht="15.15" customHeight="1" thickBot="1" x14ac:dyDescent="0.35">
      <c r="A607" s="5" t="s">
        <v>1921</v>
      </c>
      <c r="B607" s="5" t="s">
        <v>1922</v>
      </c>
      <c r="C607" s="5" t="s">
        <v>1923</v>
      </c>
      <c r="D607" s="82" t="s">
        <v>1924</v>
      </c>
      <c r="E607" s="82"/>
      <c r="F607" s="82"/>
      <c r="G607" s="82"/>
      <c r="H607" s="82"/>
      <c r="I607" s="82"/>
      <c r="J607" s="82"/>
      <c r="K607" s="23">
        <v>8.0000000000000002E-3</v>
      </c>
      <c r="L607" s="23">
        <f>ROUND(26,3)</f>
        <v>26</v>
      </c>
      <c r="M607" s="24">
        <f>ROUND(K607*L607,2)</f>
        <v>0.21</v>
      </c>
    </row>
    <row r="608" spans="1:13" ht="15.15" customHeight="1" thickBot="1" x14ac:dyDescent="0.35">
      <c r="A608" s="5" t="s">
        <v>1925</v>
      </c>
      <c r="B608" s="5"/>
      <c r="C608" s="5" t="s">
        <v>1926</v>
      </c>
      <c r="D608" s="82" t="s">
        <v>1927</v>
      </c>
      <c r="E608" s="82"/>
      <c r="F608" s="82"/>
      <c r="G608" s="82"/>
      <c r="H608" s="82"/>
      <c r="I608" s="82"/>
      <c r="J608" s="82"/>
      <c r="K608" s="23">
        <v>2</v>
      </c>
      <c r="L608" s="23">
        <f>ROUND(1.23,3)</f>
        <v>1.23</v>
      </c>
      <c r="M608" s="24">
        <f>ROUND((K608*L608)/100,2)</f>
        <v>0.02</v>
      </c>
    </row>
    <row r="609" spans="1:13" ht="15.45" customHeight="1" thickBot="1" x14ac:dyDescent="0.35">
      <c r="A609" s="37"/>
      <c r="B609" s="37"/>
      <c r="C609" s="37"/>
      <c r="D609" s="38" t="s">
        <v>1928</v>
      </c>
      <c r="E609" s="37"/>
      <c r="F609" s="37"/>
      <c r="G609" s="37"/>
      <c r="H609" s="37"/>
      <c r="I609" s="37"/>
      <c r="J609" s="37"/>
      <c r="K609" s="39">
        <v>810</v>
      </c>
      <c r="L609" s="40">
        <f>ROUND((M605+M606+M607+M608)*(1+M2/100),2)</f>
        <v>1.29</v>
      </c>
      <c r="M609" s="40">
        <f>ROUND(K609*L609,2)</f>
        <v>1044.9000000000001</v>
      </c>
    </row>
    <row r="610" spans="1:13" ht="15.45" customHeight="1" thickBot="1" x14ac:dyDescent="0.35">
      <c r="A610" s="58" t="s">
        <v>1929</v>
      </c>
      <c r="B610" s="59" t="s">
        <v>1930</v>
      </c>
      <c r="C610" s="59" t="s">
        <v>1931</v>
      </c>
      <c r="D610" s="85" t="s">
        <v>1932</v>
      </c>
      <c r="E610" s="85"/>
      <c r="F610" s="85"/>
      <c r="G610" s="85"/>
      <c r="H610" s="85"/>
      <c r="I610" s="85"/>
      <c r="J610" s="85"/>
      <c r="K610" s="60">
        <f>SUM(K612:K612)</f>
        <v>15</v>
      </c>
      <c r="L610" s="61">
        <f>L617</f>
        <v>1.81</v>
      </c>
      <c r="M610" s="61">
        <f>ROUND(K610*L610,2)</f>
        <v>27.15</v>
      </c>
    </row>
    <row r="611" spans="1:13" ht="15.15" customHeight="1" thickBot="1" x14ac:dyDescent="0.35">
      <c r="A611" s="25"/>
      <c r="B611" s="25"/>
      <c r="C611" s="25"/>
      <c r="D611" s="25"/>
      <c r="E611" s="26"/>
      <c r="F611" s="28" t="s">
        <v>1933</v>
      </c>
      <c r="G611" s="28" t="s">
        <v>1934</v>
      </c>
      <c r="H611" s="28" t="s">
        <v>1935</v>
      </c>
      <c r="I611" s="28" t="s">
        <v>1936</v>
      </c>
      <c r="J611" s="28" t="s">
        <v>1937</v>
      </c>
      <c r="K611" s="28" t="s">
        <v>1938</v>
      </c>
      <c r="L611" s="25"/>
      <c r="M611" s="25"/>
    </row>
    <row r="612" spans="1:13" ht="15.15" customHeight="1" thickBot="1" x14ac:dyDescent="0.35">
      <c r="A612" s="25"/>
      <c r="B612" s="25"/>
      <c r="C612" s="25"/>
      <c r="D612" s="29"/>
      <c r="E612" s="30" t="s">
        <v>1939</v>
      </c>
      <c r="F612" s="31">
        <v>1</v>
      </c>
      <c r="G612" s="32">
        <v>15</v>
      </c>
      <c r="H612" s="32"/>
      <c r="I612" s="32"/>
      <c r="J612" s="34">
        <f>ROUND(F612*G612,3)</f>
        <v>15</v>
      </c>
      <c r="K612" s="36">
        <f>SUM(J612:J612)</f>
        <v>15</v>
      </c>
      <c r="L612" s="25"/>
      <c r="M612" s="25"/>
    </row>
    <row r="613" spans="1:13" ht="39.75" customHeight="1" thickBot="1" x14ac:dyDescent="0.35">
      <c r="A613" s="5" t="s">
        <v>1940</v>
      </c>
      <c r="B613" s="5" t="s">
        <v>1941</v>
      </c>
      <c r="C613" s="5" t="s">
        <v>1942</v>
      </c>
      <c r="D613" s="82" t="s">
        <v>1943</v>
      </c>
      <c r="E613" s="82"/>
      <c r="F613" s="82"/>
      <c r="G613" s="82"/>
      <c r="H613" s="82"/>
      <c r="I613" s="82"/>
      <c r="J613" s="82"/>
      <c r="K613" s="23">
        <v>1</v>
      </c>
      <c r="L613" s="23">
        <f>ROUND(1.283,3)</f>
        <v>1.2829999999999999</v>
      </c>
      <c r="M613" s="24">
        <f>ROUND(K613*L613,2)</f>
        <v>1.28</v>
      </c>
    </row>
    <row r="614" spans="1:13" ht="15.15" customHeight="1" thickBot="1" x14ac:dyDescent="0.35">
      <c r="A614" s="5" t="s">
        <v>1944</v>
      </c>
      <c r="B614" s="5" t="s">
        <v>1945</v>
      </c>
      <c r="C614" s="5" t="s">
        <v>1946</v>
      </c>
      <c r="D614" s="82" t="s">
        <v>1947</v>
      </c>
      <c r="E614" s="82"/>
      <c r="F614" s="82"/>
      <c r="G614" s="82"/>
      <c r="H614" s="82"/>
      <c r="I614" s="82"/>
      <c r="J614" s="82"/>
      <c r="K614" s="23">
        <v>8.0000000000000002E-3</v>
      </c>
      <c r="L614" s="23">
        <f>ROUND(30,3)</f>
        <v>30</v>
      </c>
      <c r="M614" s="24">
        <f>ROUND(K614*L614,2)</f>
        <v>0.24</v>
      </c>
    </row>
    <row r="615" spans="1:13" ht="15.15" customHeight="1" thickBot="1" x14ac:dyDescent="0.35">
      <c r="A615" s="5" t="s">
        <v>1948</v>
      </c>
      <c r="B615" s="5" t="s">
        <v>1949</v>
      </c>
      <c r="C615" s="5" t="s">
        <v>1950</v>
      </c>
      <c r="D615" s="82" t="s">
        <v>1951</v>
      </c>
      <c r="E615" s="82"/>
      <c r="F615" s="82"/>
      <c r="G615" s="82"/>
      <c r="H615" s="82"/>
      <c r="I615" s="82"/>
      <c r="J615" s="82"/>
      <c r="K615" s="23">
        <v>8.0000000000000002E-3</v>
      </c>
      <c r="L615" s="23">
        <f>ROUND(26,3)</f>
        <v>26</v>
      </c>
      <c r="M615" s="24">
        <f>ROUND(K615*L615,2)</f>
        <v>0.21</v>
      </c>
    </row>
    <row r="616" spans="1:13" ht="15.15" customHeight="1" thickBot="1" x14ac:dyDescent="0.35">
      <c r="A616" s="5" t="s">
        <v>1952</v>
      </c>
      <c r="B616" s="5"/>
      <c r="C616" s="5" t="s">
        <v>1953</v>
      </c>
      <c r="D616" s="82" t="s">
        <v>1954</v>
      </c>
      <c r="E616" s="82"/>
      <c r="F616" s="82"/>
      <c r="G616" s="82"/>
      <c r="H616" s="82"/>
      <c r="I616" s="82"/>
      <c r="J616" s="82"/>
      <c r="K616" s="23">
        <v>2</v>
      </c>
      <c r="L616" s="23">
        <f>ROUND(1.73,3)</f>
        <v>1.73</v>
      </c>
      <c r="M616" s="24">
        <f>ROUND((K616*L616)/100,2)</f>
        <v>0.03</v>
      </c>
    </row>
    <row r="617" spans="1:13" ht="15.45" customHeight="1" thickBot="1" x14ac:dyDescent="0.35">
      <c r="A617" s="37"/>
      <c r="B617" s="37"/>
      <c r="C617" s="37"/>
      <c r="D617" s="38" t="s">
        <v>1955</v>
      </c>
      <c r="E617" s="37"/>
      <c r="F617" s="37"/>
      <c r="G617" s="37"/>
      <c r="H617" s="37"/>
      <c r="I617" s="37"/>
      <c r="J617" s="37"/>
      <c r="K617" s="39">
        <v>15</v>
      </c>
      <c r="L617" s="40">
        <f>ROUND((M613+M614+M615+M616)*(1+M2/100),2)</f>
        <v>1.81</v>
      </c>
      <c r="M617" s="40">
        <f>ROUND(K617*L617,2)</f>
        <v>27.15</v>
      </c>
    </row>
    <row r="618" spans="1:13" ht="15.45" customHeight="1" thickBot="1" x14ac:dyDescent="0.35">
      <c r="A618" s="58" t="s">
        <v>1956</v>
      </c>
      <c r="B618" s="59" t="s">
        <v>1957</v>
      </c>
      <c r="C618" s="59" t="s">
        <v>1958</v>
      </c>
      <c r="D618" s="85" t="s">
        <v>1959</v>
      </c>
      <c r="E618" s="85"/>
      <c r="F618" s="85"/>
      <c r="G618" s="85"/>
      <c r="H618" s="85"/>
      <c r="I618" s="85"/>
      <c r="J618" s="85"/>
      <c r="K618" s="60">
        <f>SUM(K620:K620)</f>
        <v>15</v>
      </c>
      <c r="L618" s="61">
        <f>L625</f>
        <v>2.5</v>
      </c>
      <c r="M618" s="61">
        <f>ROUND(K618*L618,2)</f>
        <v>37.5</v>
      </c>
    </row>
    <row r="619" spans="1:13" ht="15.15" customHeight="1" thickBot="1" x14ac:dyDescent="0.35">
      <c r="A619" s="25"/>
      <c r="B619" s="25"/>
      <c r="C619" s="25"/>
      <c r="D619" s="25"/>
      <c r="E619" s="26"/>
      <c r="F619" s="28" t="s">
        <v>1960</v>
      </c>
      <c r="G619" s="28" t="s">
        <v>1961</v>
      </c>
      <c r="H619" s="28" t="s">
        <v>1962</v>
      </c>
      <c r="I619" s="28" t="s">
        <v>1963</v>
      </c>
      <c r="J619" s="28" t="s">
        <v>1964</v>
      </c>
      <c r="K619" s="28" t="s">
        <v>1965</v>
      </c>
      <c r="L619" s="25"/>
      <c r="M619" s="25"/>
    </row>
    <row r="620" spans="1:13" ht="15.15" customHeight="1" thickBot="1" x14ac:dyDescent="0.35">
      <c r="A620" s="25"/>
      <c r="B620" s="25"/>
      <c r="C620" s="25"/>
      <c r="D620" s="29"/>
      <c r="E620" s="30" t="s">
        <v>1966</v>
      </c>
      <c r="F620" s="31">
        <v>1</v>
      </c>
      <c r="G620" s="32">
        <v>15</v>
      </c>
      <c r="H620" s="32"/>
      <c r="I620" s="32"/>
      <c r="J620" s="34">
        <f>ROUND(F620*G620,3)</f>
        <v>15</v>
      </c>
      <c r="K620" s="36">
        <f>SUM(J620:J620)</f>
        <v>15</v>
      </c>
      <c r="L620" s="25"/>
      <c r="M620" s="25"/>
    </row>
    <row r="621" spans="1:13" ht="39.75" customHeight="1" thickBot="1" x14ac:dyDescent="0.35">
      <c r="A621" s="5" t="s">
        <v>1967</v>
      </c>
      <c r="B621" s="5" t="s">
        <v>1968</v>
      </c>
      <c r="C621" s="5" t="s">
        <v>1969</v>
      </c>
      <c r="D621" s="82" t="s">
        <v>1970</v>
      </c>
      <c r="E621" s="82"/>
      <c r="F621" s="82"/>
      <c r="G621" s="82"/>
      <c r="H621" s="82"/>
      <c r="I621" s="82"/>
      <c r="J621" s="82"/>
      <c r="K621" s="23">
        <v>1</v>
      </c>
      <c r="L621" s="23">
        <f>ROUND(1.932,3)</f>
        <v>1.9319999999999999</v>
      </c>
      <c r="M621" s="24">
        <f>ROUND(K621*L621,2)</f>
        <v>1.93</v>
      </c>
    </row>
    <row r="622" spans="1:13" ht="15.15" customHeight="1" thickBot="1" x14ac:dyDescent="0.35">
      <c r="A622" s="5" t="s">
        <v>1971</v>
      </c>
      <c r="B622" s="5" t="s">
        <v>1972</v>
      </c>
      <c r="C622" s="5" t="s">
        <v>1973</v>
      </c>
      <c r="D622" s="82" t="s">
        <v>1974</v>
      </c>
      <c r="E622" s="82"/>
      <c r="F622" s="82"/>
      <c r="G622" s="82"/>
      <c r="H622" s="82"/>
      <c r="I622" s="82"/>
      <c r="J622" s="82"/>
      <c r="K622" s="23">
        <v>8.0000000000000002E-3</v>
      </c>
      <c r="L622" s="23">
        <f>ROUND(30,3)</f>
        <v>30</v>
      </c>
      <c r="M622" s="24">
        <f>ROUND(K622*L622,2)</f>
        <v>0.24</v>
      </c>
    </row>
    <row r="623" spans="1:13" ht="15.15" customHeight="1" thickBot="1" x14ac:dyDescent="0.35">
      <c r="A623" s="5" t="s">
        <v>1975</v>
      </c>
      <c r="B623" s="5" t="s">
        <v>1976</v>
      </c>
      <c r="C623" s="5" t="s">
        <v>1977</v>
      </c>
      <c r="D623" s="82" t="s">
        <v>1978</v>
      </c>
      <c r="E623" s="82"/>
      <c r="F623" s="82"/>
      <c r="G623" s="82"/>
      <c r="H623" s="82"/>
      <c r="I623" s="82"/>
      <c r="J623" s="82"/>
      <c r="K623" s="23">
        <v>8.0000000000000002E-3</v>
      </c>
      <c r="L623" s="23">
        <f>ROUND(26,3)</f>
        <v>26</v>
      </c>
      <c r="M623" s="24">
        <f>ROUND(K623*L623,2)</f>
        <v>0.21</v>
      </c>
    </row>
    <row r="624" spans="1:13" ht="15.15" customHeight="1" thickBot="1" x14ac:dyDescent="0.35">
      <c r="A624" s="5" t="s">
        <v>1979</v>
      </c>
      <c r="B624" s="5"/>
      <c r="C624" s="5" t="s">
        <v>1980</v>
      </c>
      <c r="D624" s="82" t="s">
        <v>1981</v>
      </c>
      <c r="E624" s="82"/>
      <c r="F624" s="82"/>
      <c r="G624" s="82"/>
      <c r="H624" s="82"/>
      <c r="I624" s="82"/>
      <c r="J624" s="82"/>
      <c r="K624" s="23">
        <v>2</v>
      </c>
      <c r="L624" s="23">
        <f>ROUND(2.38,3)</f>
        <v>2.38</v>
      </c>
      <c r="M624" s="24">
        <f>ROUND((K624*L624)/100,2)</f>
        <v>0.05</v>
      </c>
    </row>
    <row r="625" spans="1:13" ht="15.45" customHeight="1" thickBot="1" x14ac:dyDescent="0.35">
      <c r="A625" s="37"/>
      <c r="B625" s="37"/>
      <c r="C625" s="37"/>
      <c r="D625" s="38" t="s">
        <v>1982</v>
      </c>
      <c r="E625" s="37"/>
      <c r="F625" s="37"/>
      <c r="G625" s="37"/>
      <c r="H625" s="37"/>
      <c r="I625" s="37"/>
      <c r="J625" s="37"/>
      <c r="K625" s="39">
        <v>15</v>
      </c>
      <c r="L625" s="40">
        <f>ROUND((M621+M622+M623+M624)*(1+M2/100),2)</f>
        <v>2.5</v>
      </c>
      <c r="M625" s="40">
        <f>ROUND(K625*L625,2)</f>
        <v>37.5</v>
      </c>
    </row>
    <row r="626" spans="1:13" ht="15.45" customHeight="1" thickBot="1" x14ac:dyDescent="0.35">
      <c r="A626" s="58" t="s">
        <v>1983</v>
      </c>
      <c r="B626" s="59" t="s">
        <v>1984</v>
      </c>
      <c r="C626" s="59" t="s">
        <v>1985</v>
      </c>
      <c r="D626" s="85" t="s">
        <v>1986</v>
      </c>
      <c r="E626" s="85"/>
      <c r="F626" s="85"/>
      <c r="G626" s="85"/>
      <c r="H626" s="85"/>
      <c r="I626" s="85"/>
      <c r="J626" s="85"/>
      <c r="K626" s="60">
        <f>SUM(K628:K629)</f>
        <v>75</v>
      </c>
      <c r="L626" s="61">
        <f>L634</f>
        <v>5.28</v>
      </c>
      <c r="M626" s="61">
        <f>ROUND(K626*L626,2)</f>
        <v>396</v>
      </c>
    </row>
    <row r="627" spans="1:13" ht="15.15" customHeight="1" thickBot="1" x14ac:dyDescent="0.35">
      <c r="A627" s="25"/>
      <c r="B627" s="25"/>
      <c r="C627" s="25"/>
      <c r="D627" s="25"/>
      <c r="E627" s="26"/>
      <c r="F627" s="28" t="s">
        <v>1987</v>
      </c>
      <c r="G627" s="28" t="s">
        <v>1988</v>
      </c>
      <c r="H627" s="28" t="s">
        <v>1989</v>
      </c>
      <c r="I627" s="28" t="s">
        <v>1990</v>
      </c>
      <c r="J627" s="28" t="s">
        <v>1991</v>
      </c>
      <c r="K627" s="28" t="s">
        <v>1992</v>
      </c>
      <c r="L627" s="25"/>
      <c r="M627" s="25"/>
    </row>
    <row r="628" spans="1:13" ht="15.15" customHeight="1" thickBot="1" x14ac:dyDescent="0.35">
      <c r="A628" s="25"/>
      <c r="B628" s="25"/>
      <c r="C628" s="25"/>
      <c r="D628" s="29"/>
      <c r="E628" s="30" t="s">
        <v>1993</v>
      </c>
      <c r="F628" s="31">
        <v>1</v>
      </c>
      <c r="G628" s="32">
        <v>25</v>
      </c>
      <c r="H628" s="32"/>
      <c r="I628" s="32"/>
      <c r="J628" s="34">
        <f>ROUND(F628*G628,3)</f>
        <v>25</v>
      </c>
      <c r="K628" s="57"/>
      <c r="L628" s="25"/>
      <c r="M628" s="25"/>
    </row>
    <row r="629" spans="1:13" ht="15.15" customHeight="1" thickBot="1" x14ac:dyDescent="0.35">
      <c r="A629" s="25"/>
      <c r="B629" s="25"/>
      <c r="C629" s="25"/>
      <c r="D629" s="29"/>
      <c r="E629" s="5" t="s">
        <v>1994</v>
      </c>
      <c r="F629" s="3">
        <v>1</v>
      </c>
      <c r="G629" s="23">
        <v>50</v>
      </c>
      <c r="H629" s="23"/>
      <c r="I629" s="23"/>
      <c r="J629" s="33">
        <f>ROUND(F629*G629,3)</f>
        <v>50</v>
      </c>
      <c r="K629" s="35">
        <f>SUM(J628:J629)</f>
        <v>75</v>
      </c>
      <c r="L629" s="25"/>
      <c r="M629" s="25"/>
    </row>
    <row r="630" spans="1:13" ht="39.75" customHeight="1" thickBot="1" x14ac:dyDescent="0.35">
      <c r="A630" s="5" t="s">
        <v>1995</v>
      </c>
      <c r="B630" s="5" t="s">
        <v>1996</v>
      </c>
      <c r="C630" s="5" t="s">
        <v>1997</v>
      </c>
      <c r="D630" s="82" t="s">
        <v>1998</v>
      </c>
      <c r="E630" s="82"/>
      <c r="F630" s="82"/>
      <c r="G630" s="82"/>
      <c r="H630" s="82"/>
      <c r="I630" s="82"/>
      <c r="J630" s="82"/>
      <c r="K630" s="23">
        <v>1</v>
      </c>
      <c r="L630" s="23">
        <f>ROUND(3.795,3)</f>
        <v>3.7949999999999999</v>
      </c>
      <c r="M630" s="24">
        <f>ROUND(K630*L630,2)</f>
        <v>3.8</v>
      </c>
    </row>
    <row r="631" spans="1:13" ht="15.15" customHeight="1" thickBot="1" x14ac:dyDescent="0.35">
      <c r="A631" s="5" t="s">
        <v>1999</v>
      </c>
      <c r="B631" s="5" t="s">
        <v>2000</v>
      </c>
      <c r="C631" s="5" t="s">
        <v>2001</v>
      </c>
      <c r="D631" s="82" t="s">
        <v>2002</v>
      </c>
      <c r="E631" s="82"/>
      <c r="F631" s="82"/>
      <c r="G631" s="82"/>
      <c r="H631" s="82"/>
      <c r="I631" s="82"/>
      <c r="J631" s="82"/>
      <c r="K631" s="23">
        <v>2.1999999999999999E-2</v>
      </c>
      <c r="L631" s="23">
        <f>ROUND(30,3)</f>
        <v>30</v>
      </c>
      <c r="M631" s="24">
        <f>ROUND(K631*L631,2)</f>
        <v>0.66</v>
      </c>
    </row>
    <row r="632" spans="1:13" ht="15.15" customHeight="1" thickBot="1" x14ac:dyDescent="0.35">
      <c r="A632" s="5" t="s">
        <v>2003</v>
      </c>
      <c r="B632" s="5" t="s">
        <v>2004</v>
      </c>
      <c r="C632" s="5" t="s">
        <v>2005</v>
      </c>
      <c r="D632" s="82" t="s">
        <v>2006</v>
      </c>
      <c r="E632" s="82"/>
      <c r="F632" s="82"/>
      <c r="G632" s="82"/>
      <c r="H632" s="82"/>
      <c r="I632" s="82"/>
      <c r="J632" s="82"/>
      <c r="K632" s="23">
        <v>2.1999999999999999E-2</v>
      </c>
      <c r="L632" s="23">
        <f>ROUND(26,3)</f>
        <v>26</v>
      </c>
      <c r="M632" s="24">
        <f>ROUND(K632*L632,2)</f>
        <v>0.56999999999999995</v>
      </c>
    </row>
    <row r="633" spans="1:13" ht="15.15" customHeight="1" thickBot="1" x14ac:dyDescent="0.35">
      <c r="A633" s="5" t="s">
        <v>2007</v>
      </c>
      <c r="B633" s="5"/>
      <c r="C633" s="5" t="s">
        <v>2008</v>
      </c>
      <c r="D633" s="82" t="s">
        <v>2009</v>
      </c>
      <c r="E633" s="82"/>
      <c r="F633" s="82"/>
      <c r="G633" s="82"/>
      <c r="H633" s="82"/>
      <c r="I633" s="82"/>
      <c r="J633" s="82"/>
      <c r="K633" s="23">
        <v>2</v>
      </c>
      <c r="L633" s="23">
        <f>ROUND(5.03,3)</f>
        <v>5.03</v>
      </c>
      <c r="M633" s="24">
        <f>ROUND((K633*L633)/100,2)</f>
        <v>0.1</v>
      </c>
    </row>
    <row r="634" spans="1:13" ht="15.45" customHeight="1" thickBot="1" x14ac:dyDescent="0.35">
      <c r="A634" s="37"/>
      <c r="B634" s="37"/>
      <c r="C634" s="37"/>
      <c r="D634" s="38" t="s">
        <v>2010</v>
      </c>
      <c r="E634" s="37"/>
      <c r="F634" s="37"/>
      <c r="G634" s="37"/>
      <c r="H634" s="37"/>
      <c r="I634" s="37"/>
      <c r="J634" s="37"/>
      <c r="K634" s="39">
        <v>75</v>
      </c>
      <c r="L634" s="40">
        <f>ROUND((M630+M631+M632+M633)*(1+M2/100),2)</f>
        <v>5.28</v>
      </c>
      <c r="M634" s="40">
        <f>ROUND(K634*L634,2)</f>
        <v>396</v>
      </c>
    </row>
    <row r="635" spans="1:13" ht="15.45" customHeight="1" thickBot="1" x14ac:dyDescent="0.35">
      <c r="A635" s="41"/>
      <c r="B635" s="41"/>
      <c r="C635" s="41"/>
      <c r="D635" s="42" t="s">
        <v>2011</v>
      </c>
      <c r="E635" s="43"/>
      <c r="F635" s="43"/>
      <c r="G635" s="43"/>
      <c r="H635" s="43"/>
      <c r="I635" s="43"/>
      <c r="J635" s="43"/>
      <c r="K635" s="43"/>
      <c r="L635" s="44">
        <f>M592+M610+M618+M626</f>
        <v>1505.5500000000002</v>
      </c>
      <c r="M635" s="44">
        <f>ROUND(L635,2)</f>
        <v>1505.55</v>
      </c>
    </row>
    <row r="636" spans="1:13" ht="15.45" customHeight="1" thickBot="1" x14ac:dyDescent="0.35">
      <c r="A636" s="54" t="s">
        <v>2012</v>
      </c>
      <c r="B636" s="54" t="s">
        <v>2013</v>
      </c>
      <c r="C636" s="55"/>
      <c r="D636" s="84" t="s">
        <v>2014</v>
      </c>
      <c r="E636" s="84"/>
      <c r="F636" s="84"/>
      <c r="G636" s="84"/>
      <c r="H636" s="84"/>
      <c r="I636" s="84"/>
      <c r="J636" s="84"/>
      <c r="K636" s="55"/>
      <c r="L636" s="56">
        <f>L677</f>
        <v>4293.3599999999997</v>
      </c>
      <c r="M636" s="56">
        <f>ROUND(L636,2)</f>
        <v>4293.3599999999997</v>
      </c>
    </row>
    <row r="637" spans="1:13" ht="15.45" customHeight="1" thickBot="1" x14ac:dyDescent="0.35">
      <c r="A637" s="10" t="s">
        <v>2015</v>
      </c>
      <c r="B637" s="5" t="s">
        <v>2016</v>
      </c>
      <c r="C637" s="5" t="s">
        <v>2017</v>
      </c>
      <c r="D637" s="82" t="s">
        <v>2018</v>
      </c>
      <c r="E637" s="82"/>
      <c r="F637" s="82"/>
      <c r="G637" s="82"/>
      <c r="H637" s="82"/>
      <c r="I637" s="82"/>
      <c r="J637" s="82"/>
      <c r="K637" s="23">
        <f>SUM(K639:K642)</f>
        <v>137</v>
      </c>
      <c r="L637" s="24">
        <f>L647</f>
        <v>21.03</v>
      </c>
      <c r="M637" s="24">
        <f>ROUND(K637*L637,2)</f>
        <v>2881.11</v>
      </c>
    </row>
    <row r="638" spans="1:13" ht="15.15" customHeight="1" thickBot="1" x14ac:dyDescent="0.35">
      <c r="A638" s="25"/>
      <c r="B638" s="25"/>
      <c r="C638" s="25"/>
      <c r="D638" s="25"/>
      <c r="E638" s="26"/>
      <c r="F638" s="28" t="s">
        <v>2019</v>
      </c>
      <c r="G638" s="28" t="s">
        <v>2020</v>
      </c>
      <c r="H638" s="28" t="s">
        <v>2021</v>
      </c>
      <c r="I638" s="28" t="s">
        <v>2022</v>
      </c>
      <c r="J638" s="28" t="s">
        <v>2023</v>
      </c>
      <c r="K638" s="28" t="s">
        <v>2024</v>
      </c>
      <c r="L638" s="25"/>
      <c r="M638" s="25"/>
    </row>
    <row r="639" spans="1:13" ht="15.15" customHeight="1" thickBot="1" x14ac:dyDescent="0.35">
      <c r="A639" s="25"/>
      <c r="B639" s="25"/>
      <c r="C639" s="25"/>
      <c r="D639" s="29"/>
      <c r="E639" s="30"/>
      <c r="F639" s="31">
        <v>1</v>
      </c>
      <c r="G639" s="32">
        <v>92</v>
      </c>
      <c r="H639" s="32"/>
      <c r="I639" s="32"/>
      <c r="J639" s="34">
        <f>ROUND(F639*G639,3)</f>
        <v>92</v>
      </c>
      <c r="K639" s="57"/>
      <c r="L639" s="25"/>
      <c r="M639" s="25"/>
    </row>
    <row r="640" spans="1:13" ht="15.15" customHeight="1" thickBot="1" x14ac:dyDescent="0.35">
      <c r="A640" s="25"/>
      <c r="B640" s="25"/>
      <c r="C640" s="25"/>
      <c r="D640" s="29"/>
      <c r="E640" s="5"/>
      <c r="F640" s="3">
        <v>1</v>
      </c>
      <c r="G640" s="23">
        <v>35</v>
      </c>
      <c r="H640" s="23"/>
      <c r="I640" s="23"/>
      <c r="J640" s="33">
        <f>ROUND(F640*G640,3)</f>
        <v>35</v>
      </c>
      <c r="K640" s="25"/>
      <c r="L640" s="25"/>
      <c r="M640" s="25"/>
    </row>
    <row r="641" spans="1:13" ht="15.15" customHeight="1" thickBot="1" x14ac:dyDescent="0.35">
      <c r="A641" s="25"/>
      <c r="B641" s="25"/>
      <c r="C641" s="25"/>
      <c r="D641" s="29"/>
      <c r="E641" s="5"/>
      <c r="F641" s="3">
        <v>1</v>
      </c>
      <c r="G641" s="23">
        <v>5</v>
      </c>
      <c r="H641" s="23"/>
      <c r="I641" s="23"/>
      <c r="J641" s="33">
        <f>ROUND(F641*G641,3)</f>
        <v>5</v>
      </c>
      <c r="K641" s="25"/>
      <c r="L641" s="25"/>
      <c r="M641" s="25"/>
    </row>
    <row r="642" spans="1:13" ht="15.15" customHeight="1" thickBot="1" x14ac:dyDescent="0.35">
      <c r="A642" s="25"/>
      <c r="B642" s="25"/>
      <c r="C642" s="25"/>
      <c r="D642" s="29"/>
      <c r="E642" s="5"/>
      <c r="F642" s="3">
        <v>1</v>
      </c>
      <c r="G642" s="23">
        <v>5</v>
      </c>
      <c r="H642" s="23"/>
      <c r="I642" s="23"/>
      <c r="J642" s="33">
        <f>ROUND(F642*G642,3)</f>
        <v>5</v>
      </c>
      <c r="K642" s="35">
        <f>SUM(J639:J642)</f>
        <v>137</v>
      </c>
      <c r="L642" s="25"/>
      <c r="M642" s="25"/>
    </row>
    <row r="643" spans="1:13" ht="39.75" customHeight="1" thickBot="1" x14ac:dyDescent="0.35">
      <c r="A643" s="5" t="s">
        <v>2025</v>
      </c>
      <c r="B643" s="5" t="s">
        <v>2026</v>
      </c>
      <c r="C643" s="5" t="s">
        <v>2027</v>
      </c>
      <c r="D643" s="82" t="s">
        <v>2028</v>
      </c>
      <c r="E643" s="82"/>
      <c r="F643" s="82"/>
      <c r="G643" s="82"/>
      <c r="H643" s="82"/>
      <c r="I643" s="82"/>
      <c r="J643" s="82"/>
      <c r="K643" s="23">
        <v>1</v>
      </c>
      <c r="L643" s="23">
        <f>ROUND(13.747,3)</f>
        <v>13.747</v>
      </c>
      <c r="M643" s="24">
        <f>ROUND(K643*L643,2)</f>
        <v>13.75</v>
      </c>
    </row>
    <row r="644" spans="1:13" ht="15.15" customHeight="1" thickBot="1" x14ac:dyDescent="0.35">
      <c r="A644" s="5" t="s">
        <v>2029</v>
      </c>
      <c r="B644" s="5" t="s">
        <v>2030</v>
      </c>
      <c r="C644" s="5" t="s">
        <v>2031</v>
      </c>
      <c r="D644" s="82" t="s">
        <v>2032</v>
      </c>
      <c r="E644" s="82"/>
      <c r="F644" s="82"/>
      <c r="G644" s="82"/>
      <c r="H644" s="82"/>
      <c r="I644" s="82"/>
      <c r="J644" s="82"/>
      <c r="K644" s="23">
        <v>0.112</v>
      </c>
      <c r="L644" s="23">
        <f>ROUND(30,3)</f>
        <v>30</v>
      </c>
      <c r="M644" s="24">
        <f>ROUND(K644*L644,2)</f>
        <v>3.36</v>
      </c>
    </row>
    <row r="645" spans="1:13" ht="15.15" customHeight="1" thickBot="1" x14ac:dyDescent="0.35">
      <c r="A645" s="5" t="s">
        <v>2033</v>
      </c>
      <c r="B645" s="5" t="s">
        <v>2034</v>
      </c>
      <c r="C645" s="5" t="s">
        <v>2035</v>
      </c>
      <c r="D645" s="82" t="s">
        <v>2036</v>
      </c>
      <c r="E645" s="82"/>
      <c r="F645" s="82"/>
      <c r="G645" s="82"/>
      <c r="H645" s="82"/>
      <c r="I645" s="82"/>
      <c r="J645" s="82"/>
      <c r="K645" s="23">
        <v>0.112</v>
      </c>
      <c r="L645" s="23">
        <f>ROUND(26,3)</f>
        <v>26</v>
      </c>
      <c r="M645" s="24">
        <f>ROUND(K645*L645,2)</f>
        <v>2.91</v>
      </c>
    </row>
    <row r="646" spans="1:13" ht="15.15" customHeight="1" thickBot="1" x14ac:dyDescent="0.35">
      <c r="A646" s="5" t="s">
        <v>2037</v>
      </c>
      <c r="B646" s="5"/>
      <c r="C646" s="5" t="s">
        <v>2038</v>
      </c>
      <c r="D646" s="82" t="s">
        <v>2039</v>
      </c>
      <c r="E646" s="82"/>
      <c r="F646" s="82"/>
      <c r="G646" s="82"/>
      <c r="H646" s="82"/>
      <c r="I646" s="82"/>
      <c r="J646" s="82"/>
      <c r="K646" s="23">
        <v>2</v>
      </c>
      <c r="L646" s="23">
        <f>ROUND(20.02,3)</f>
        <v>20.02</v>
      </c>
      <c r="M646" s="24">
        <f>ROUND((K646*L646)/100,2)</f>
        <v>0.4</v>
      </c>
    </row>
    <row r="647" spans="1:13" ht="15.45" customHeight="1" thickBot="1" x14ac:dyDescent="0.35">
      <c r="A647" s="37"/>
      <c r="B647" s="37"/>
      <c r="C647" s="37"/>
      <c r="D647" s="38" t="s">
        <v>2040</v>
      </c>
      <c r="E647" s="37"/>
      <c r="F647" s="37"/>
      <c r="G647" s="37"/>
      <c r="H647" s="37"/>
      <c r="I647" s="37"/>
      <c r="J647" s="37"/>
      <c r="K647" s="39">
        <v>137</v>
      </c>
      <c r="L647" s="40">
        <f>ROUND((M643+M644+M645+M646)*(1+M2/100),2)</f>
        <v>21.03</v>
      </c>
      <c r="M647" s="40">
        <f>ROUND(K647*L647,2)</f>
        <v>2881.11</v>
      </c>
    </row>
    <row r="648" spans="1:13" ht="15.45" customHeight="1" thickBot="1" x14ac:dyDescent="0.35">
      <c r="A648" s="58" t="s">
        <v>2041</v>
      </c>
      <c r="B648" s="59" t="s">
        <v>2042</v>
      </c>
      <c r="C648" s="59" t="s">
        <v>2043</v>
      </c>
      <c r="D648" s="85" t="s">
        <v>2044</v>
      </c>
      <c r="E648" s="85"/>
      <c r="F648" s="85"/>
      <c r="G648" s="85"/>
      <c r="H648" s="85"/>
      <c r="I648" s="85"/>
      <c r="J648" s="85"/>
      <c r="K648" s="60">
        <f>SUM(K650:K655)</f>
        <v>445</v>
      </c>
      <c r="L648" s="61">
        <f>L660</f>
        <v>2.87</v>
      </c>
      <c r="M648" s="61">
        <f>ROUND(K648*L648,2)</f>
        <v>1277.1500000000001</v>
      </c>
    </row>
    <row r="649" spans="1:13" ht="15.15" customHeight="1" thickBot="1" x14ac:dyDescent="0.35">
      <c r="A649" s="25"/>
      <c r="B649" s="25"/>
      <c r="C649" s="25"/>
      <c r="D649" s="25"/>
      <c r="E649" s="26"/>
      <c r="F649" s="28" t="s">
        <v>2045</v>
      </c>
      <c r="G649" s="28" t="s">
        <v>2046</v>
      </c>
      <c r="H649" s="28" t="s">
        <v>2047</v>
      </c>
      <c r="I649" s="28" t="s">
        <v>2048</v>
      </c>
      <c r="J649" s="28" t="s">
        <v>2049</v>
      </c>
      <c r="K649" s="28" t="s">
        <v>2050</v>
      </c>
      <c r="L649" s="25"/>
      <c r="M649" s="25"/>
    </row>
    <row r="650" spans="1:13" ht="15.15" customHeight="1" thickBot="1" x14ac:dyDescent="0.35">
      <c r="A650" s="25"/>
      <c r="B650" s="25"/>
      <c r="C650" s="25"/>
      <c r="D650" s="29"/>
      <c r="E650" s="30" t="s">
        <v>2051</v>
      </c>
      <c r="F650" s="31">
        <v>12</v>
      </c>
      <c r="G650" s="32">
        <v>5</v>
      </c>
      <c r="H650" s="32"/>
      <c r="I650" s="32"/>
      <c r="J650" s="34">
        <f t="shared" ref="J650:J655" si="29">ROUND(F650*G650,3)</f>
        <v>60</v>
      </c>
      <c r="K650" s="57"/>
      <c r="L650" s="25"/>
      <c r="M650" s="25"/>
    </row>
    <row r="651" spans="1:13" ht="15.15" customHeight="1" thickBot="1" x14ac:dyDescent="0.35">
      <c r="A651" s="25"/>
      <c r="B651" s="25"/>
      <c r="C651" s="25"/>
      <c r="D651" s="29"/>
      <c r="E651" s="5" t="s">
        <v>2052</v>
      </c>
      <c r="F651" s="3">
        <v>48</v>
      </c>
      <c r="G651" s="23">
        <v>5</v>
      </c>
      <c r="H651" s="23"/>
      <c r="I651" s="23"/>
      <c r="J651" s="33">
        <f t="shared" si="29"/>
        <v>240</v>
      </c>
      <c r="K651" s="25"/>
      <c r="L651" s="25"/>
      <c r="M651" s="25"/>
    </row>
    <row r="652" spans="1:13" ht="15.15" customHeight="1" thickBot="1" x14ac:dyDescent="0.35">
      <c r="A652" s="25"/>
      <c r="B652" s="25"/>
      <c r="C652" s="25"/>
      <c r="D652" s="29"/>
      <c r="E652" s="5" t="s">
        <v>2053</v>
      </c>
      <c r="F652" s="3">
        <v>6</v>
      </c>
      <c r="G652" s="23">
        <v>5</v>
      </c>
      <c r="H652" s="23"/>
      <c r="I652" s="23"/>
      <c r="J652" s="33">
        <f t="shared" si="29"/>
        <v>30</v>
      </c>
      <c r="K652" s="25"/>
      <c r="L652" s="25"/>
      <c r="M652" s="25"/>
    </row>
    <row r="653" spans="1:13" ht="15.15" customHeight="1" thickBot="1" x14ac:dyDescent="0.35">
      <c r="A653" s="25"/>
      <c r="B653" s="25"/>
      <c r="C653" s="25"/>
      <c r="D653" s="29"/>
      <c r="E653" s="5" t="s">
        <v>2054</v>
      </c>
      <c r="F653" s="3">
        <v>21</v>
      </c>
      <c r="G653" s="23">
        <v>5</v>
      </c>
      <c r="H653" s="23"/>
      <c r="I653" s="23"/>
      <c r="J653" s="33">
        <f t="shared" si="29"/>
        <v>105</v>
      </c>
      <c r="K653" s="25"/>
      <c r="L653" s="25"/>
      <c r="M653" s="25"/>
    </row>
    <row r="654" spans="1:13" ht="15.15" customHeight="1" thickBot="1" x14ac:dyDescent="0.35">
      <c r="A654" s="25"/>
      <c r="B654" s="25"/>
      <c r="C654" s="25"/>
      <c r="D654" s="29"/>
      <c r="E654" s="5" t="s">
        <v>2055</v>
      </c>
      <c r="F654" s="3">
        <v>1</v>
      </c>
      <c r="G654" s="23">
        <v>5</v>
      </c>
      <c r="H654" s="23"/>
      <c r="I654" s="23"/>
      <c r="J654" s="33">
        <f t="shared" si="29"/>
        <v>5</v>
      </c>
      <c r="K654" s="25"/>
      <c r="L654" s="25"/>
      <c r="M654" s="25"/>
    </row>
    <row r="655" spans="1:13" ht="15.15" customHeight="1" thickBot="1" x14ac:dyDescent="0.35">
      <c r="A655" s="25"/>
      <c r="B655" s="25"/>
      <c r="C655" s="25"/>
      <c r="D655" s="29"/>
      <c r="E655" s="5" t="s">
        <v>2056</v>
      </c>
      <c r="F655" s="3">
        <v>1</v>
      </c>
      <c r="G655" s="23">
        <v>5</v>
      </c>
      <c r="H655" s="23"/>
      <c r="I655" s="23"/>
      <c r="J655" s="33">
        <f t="shared" si="29"/>
        <v>5</v>
      </c>
      <c r="K655" s="35">
        <f>SUM(J650:J655)</f>
        <v>445</v>
      </c>
      <c r="L655" s="25"/>
      <c r="M655" s="25"/>
    </row>
    <row r="656" spans="1:13" ht="58.35" customHeight="1" thickBot="1" x14ac:dyDescent="0.35">
      <c r="A656" s="5" t="s">
        <v>2057</v>
      </c>
      <c r="B656" s="5" t="s">
        <v>2058</v>
      </c>
      <c r="C656" s="5" t="s">
        <v>2059</v>
      </c>
      <c r="D656" s="82" t="s">
        <v>2060</v>
      </c>
      <c r="E656" s="82"/>
      <c r="F656" s="82"/>
      <c r="G656" s="82"/>
      <c r="H656" s="82"/>
      <c r="I656" s="82"/>
      <c r="J656" s="82"/>
      <c r="K656" s="23">
        <v>1</v>
      </c>
      <c r="L656" s="23">
        <f>ROUND(1.406,3)</f>
        <v>1.4059999999999999</v>
      </c>
      <c r="M656" s="24">
        <f>ROUND(K656*L656,2)</f>
        <v>1.41</v>
      </c>
    </row>
    <row r="657" spans="1:13" ht="15.15" customHeight="1" thickBot="1" x14ac:dyDescent="0.35">
      <c r="A657" s="5" t="s">
        <v>2061</v>
      </c>
      <c r="B657" s="5" t="s">
        <v>2062</v>
      </c>
      <c r="C657" s="5" t="s">
        <v>2063</v>
      </c>
      <c r="D657" s="82" t="s">
        <v>2064</v>
      </c>
      <c r="E657" s="82"/>
      <c r="F657" s="82"/>
      <c r="G657" s="82"/>
      <c r="H657" s="82"/>
      <c r="I657" s="82"/>
      <c r="J657" s="82"/>
      <c r="K657" s="23">
        <v>0.02</v>
      </c>
      <c r="L657" s="23">
        <f>ROUND(30,3)</f>
        <v>30</v>
      </c>
      <c r="M657" s="24">
        <f>ROUND(K657*L657,2)</f>
        <v>0.6</v>
      </c>
    </row>
    <row r="658" spans="1:13" ht="15.15" customHeight="1" thickBot="1" x14ac:dyDescent="0.35">
      <c r="A658" s="5" t="s">
        <v>2065</v>
      </c>
      <c r="B658" s="5" t="s">
        <v>2066</v>
      </c>
      <c r="C658" s="5" t="s">
        <v>2067</v>
      </c>
      <c r="D658" s="82" t="s">
        <v>2068</v>
      </c>
      <c r="E658" s="82"/>
      <c r="F658" s="82"/>
      <c r="G658" s="82"/>
      <c r="H658" s="82"/>
      <c r="I658" s="82"/>
      <c r="J658" s="82"/>
      <c r="K658" s="23">
        <v>2.8000000000000001E-2</v>
      </c>
      <c r="L658" s="23">
        <f>ROUND(26,3)</f>
        <v>26</v>
      </c>
      <c r="M658" s="24">
        <f>ROUND(K658*L658,2)</f>
        <v>0.73</v>
      </c>
    </row>
    <row r="659" spans="1:13" ht="15.15" customHeight="1" thickBot="1" x14ac:dyDescent="0.35">
      <c r="A659" s="5" t="s">
        <v>2069</v>
      </c>
      <c r="B659" s="5"/>
      <c r="C659" s="5" t="s">
        <v>2070</v>
      </c>
      <c r="D659" s="82" t="s">
        <v>2071</v>
      </c>
      <c r="E659" s="82"/>
      <c r="F659" s="82"/>
      <c r="G659" s="82"/>
      <c r="H659" s="82"/>
      <c r="I659" s="82"/>
      <c r="J659" s="82"/>
      <c r="K659" s="23">
        <v>2</v>
      </c>
      <c r="L659" s="23">
        <f>ROUND(2.74,3)</f>
        <v>2.74</v>
      </c>
      <c r="M659" s="24">
        <f>ROUND((K659*L659)/100,2)</f>
        <v>0.05</v>
      </c>
    </row>
    <row r="660" spans="1:13" ht="15.45" customHeight="1" thickBot="1" x14ac:dyDescent="0.35">
      <c r="A660" s="37"/>
      <c r="B660" s="37"/>
      <c r="C660" s="37"/>
      <c r="D660" s="38" t="s">
        <v>2072</v>
      </c>
      <c r="E660" s="37"/>
      <c r="F660" s="37"/>
      <c r="G660" s="37"/>
      <c r="H660" s="37"/>
      <c r="I660" s="37"/>
      <c r="J660" s="37"/>
      <c r="K660" s="39">
        <v>445</v>
      </c>
      <c r="L660" s="40">
        <f>ROUND((M656+M657+M658+M659)*(1+M2/100),2)</f>
        <v>2.87</v>
      </c>
      <c r="M660" s="40">
        <f>ROUND(K660*L660,2)</f>
        <v>1277.1500000000001</v>
      </c>
    </row>
    <row r="661" spans="1:13" ht="15.45" customHeight="1" thickBot="1" x14ac:dyDescent="0.35">
      <c r="A661" s="58" t="s">
        <v>2073</v>
      </c>
      <c r="B661" s="59" t="s">
        <v>2074</v>
      </c>
      <c r="C661" s="59" t="s">
        <v>2075</v>
      </c>
      <c r="D661" s="85" t="s">
        <v>2076</v>
      </c>
      <c r="E661" s="85"/>
      <c r="F661" s="85"/>
      <c r="G661" s="85"/>
      <c r="H661" s="85"/>
      <c r="I661" s="85"/>
      <c r="J661" s="85"/>
      <c r="K661" s="60">
        <f>SUM(K663:K663)</f>
        <v>15</v>
      </c>
      <c r="L661" s="61">
        <f>L668</f>
        <v>3.46</v>
      </c>
      <c r="M661" s="61">
        <f>ROUND(K661*L661,2)</f>
        <v>51.9</v>
      </c>
    </row>
    <row r="662" spans="1:13" ht="15.15" customHeight="1" thickBot="1" x14ac:dyDescent="0.35">
      <c r="A662" s="25"/>
      <c r="B662" s="25"/>
      <c r="C662" s="25"/>
      <c r="D662" s="25"/>
      <c r="E662" s="26"/>
      <c r="F662" s="28" t="s">
        <v>2077</v>
      </c>
      <c r="G662" s="28" t="s">
        <v>2078</v>
      </c>
      <c r="H662" s="28" t="s">
        <v>2079</v>
      </c>
      <c r="I662" s="28" t="s">
        <v>2080</v>
      </c>
      <c r="J662" s="28" t="s">
        <v>2081</v>
      </c>
      <c r="K662" s="28" t="s">
        <v>2082</v>
      </c>
      <c r="L662" s="25"/>
      <c r="M662" s="25"/>
    </row>
    <row r="663" spans="1:13" ht="15.15" customHeight="1" thickBot="1" x14ac:dyDescent="0.35">
      <c r="A663" s="25"/>
      <c r="B663" s="25"/>
      <c r="C663" s="25"/>
      <c r="D663" s="29"/>
      <c r="E663" s="30" t="s">
        <v>2083</v>
      </c>
      <c r="F663" s="31">
        <v>1</v>
      </c>
      <c r="G663" s="32">
        <v>15</v>
      </c>
      <c r="H663" s="32"/>
      <c r="I663" s="32"/>
      <c r="J663" s="34">
        <f>ROUND(F663*G663,3)</f>
        <v>15</v>
      </c>
      <c r="K663" s="36">
        <f>SUM(J663:J663)</f>
        <v>15</v>
      </c>
      <c r="L663" s="25"/>
      <c r="M663" s="25"/>
    </row>
    <row r="664" spans="1:13" ht="58.35" customHeight="1" thickBot="1" x14ac:dyDescent="0.35">
      <c r="A664" s="5" t="s">
        <v>2084</v>
      </c>
      <c r="B664" s="5" t="s">
        <v>2085</v>
      </c>
      <c r="C664" s="5" t="s">
        <v>2086</v>
      </c>
      <c r="D664" s="82" t="s">
        <v>2087</v>
      </c>
      <c r="E664" s="82"/>
      <c r="F664" s="82"/>
      <c r="G664" s="82"/>
      <c r="H664" s="82"/>
      <c r="I664" s="82"/>
      <c r="J664" s="82"/>
      <c r="K664" s="23">
        <v>1</v>
      </c>
      <c r="L664" s="23">
        <f>ROUND(1.896,3)</f>
        <v>1.8959999999999999</v>
      </c>
      <c r="M664" s="24">
        <f>ROUND(K664*L664,2)</f>
        <v>1.9</v>
      </c>
    </row>
    <row r="665" spans="1:13" ht="15.15" customHeight="1" thickBot="1" x14ac:dyDescent="0.35">
      <c r="A665" s="5" t="s">
        <v>2088</v>
      </c>
      <c r="B665" s="5" t="s">
        <v>2089</v>
      </c>
      <c r="C665" s="5" t="s">
        <v>2090</v>
      </c>
      <c r="D665" s="82" t="s">
        <v>2091</v>
      </c>
      <c r="E665" s="82"/>
      <c r="F665" s="82"/>
      <c r="G665" s="82"/>
      <c r="H665" s="82"/>
      <c r="I665" s="82"/>
      <c r="J665" s="82"/>
      <c r="K665" s="23">
        <v>2.1999999999999999E-2</v>
      </c>
      <c r="L665" s="23">
        <f>ROUND(30,3)</f>
        <v>30</v>
      </c>
      <c r="M665" s="24">
        <f>ROUND(K665*L665,2)</f>
        <v>0.66</v>
      </c>
    </row>
    <row r="666" spans="1:13" ht="15.15" customHeight="1" thickBot="1" x14ac:dyDescent="0.35">
      <c r="A666" s="5" t="s">
        <v>2092</v>
      </c>
      <c r="B666" s="5" t="s">
        <v>2093</v>
      </c>
      <c r="C666" s="5" t="s">
        <v>2094</v>
      </c>
      <c r="D666" s="82" t="s">
        <v>2095</v>
      </c>
      <c r="E666" s="82"/>
      <c r="F666" s="82"/>
      <c r="G666" s="82"/>
      <c r="H666" s="82"/>
      <c r="I666" s="82"/>
      <c r="J666" s="82"/>
      <c r="K666" s="23">
        <v>2.8000000000000001E-2</v>
      </c>
      <c r="L666" s="23">
        <f>ROUND(26,3)</f>
        <v>26</v>
      </c>
      <c r="M666" s="24">
        <f>ROUND(K666*L666,2)</f>
        <v>0.73</v>
      </c>
    </row>
    <row r="667" spans="1:13" ht="15.15" customHeight="1" thickBot="1" x14ac:dyDescent="0.35">
      <c r="A667" s="5" t="s">
        <v>2096</v>
      </c>
      <c r="B667" s="5"/>
      <c r="C667" s="5" t="s">
        <v>2097</v>
      </c>
      <c r="D667" s="82" t="s">
        <v>2098</v>
      </c>
      <c r="E667" s="82"/>
      <c r="F667" s="82"/>
      <c r="G667" s="82"/>
      <c r="H667" s="82"/>
      <c r="I667" s="82"/>
      <c r="J667" s="82"/>
      <c r="K667" s="23">
        <v>2</v>
      </c>
      <c r="L667" s="23">
        <f>ROUND(3.29,3)</f>
        <v>3.29</v>
      </c>
      <c r="M667" s="24">
        <f>ROUND((K667*L667)/100,2)</f>
        <v>7.0000000000000007E-2</v>
      </c>
    </row>
    <row r="668" spans="1:13" ht="15.45" customHeight="1" thickBot="1" x14ac:dyDescent="0.35">
      <c r="A668" s="37"/>
      <c r="B668" s="37"/>
      <c r="C668" s="37"/>
      <c r="D668" s="38" t="s">
        <v>2099</v>
      </c>
      <c r="E668" s="37"/>
      <c r="F668" s="37"/>
      <c r="G668" s="37"/>
      <c r="H668" s="37"/>
      <c r="I668" s="37"/>
      <c r="J668" s="37"/>
      <c r="K668" s="39">
        <v>15</v>
      </c>
      <c r="L668" s="40">
        <f>ROUND((M664+M665+M666+M667)*(1+M2/100),2)</f>
        <v>3.46</v>
      </c>
      <c r="M668" s="40">
        <f>ROUND(K668*L668,2)</f>
        <v>51.9</v>
      </c>
    </row>
    <row r="669" spans="1:13" ht="15.45" customHeight="1" thickBot="1" x14ac:dyDescent="0.35">
      <c r="A669" s="58" t="s">
        <v>2100</v>
      </c>
      <c r="B669" s="59" t="s">
        <v>2101</v>
      </c>
      <c r="C669" s="59" t="s">
        <v>2102</v>
      </c>
      <c r="D669" s="85" t="s">
        <v>2103</v>
      </c>
      <c r="E669" s="85"/>
      <c r="F669" s="85"/>
      <c r="G669" s="85"/>
      <c r="H669" s="85"/>
      <c r="I669" s="85"/>
      <c r="J669" s="85"/>
      <c r="K669" s="60">
        <f>SUM(K671:K671)</f>
        <v>20</v>
      </c>
      <c r="L669" s="61">
        <f>L676</f>
        <v>4.16</v>
      </c>
      <c r="M669" s="61">
        <f>ROUND(K669*L669,2)</f>
        <v>83.2</v>
      </c>
    </row>
    <row r="670" spans="1:13" ht="15.15" customHeight="1" thickBot="1" x14ac:dyDescent="0.35">
      <c r="A670" s="25"/>
      <c r="B670" s="25"/>
      <c r="C670" s="25"/>
      <c r="D670" s="25"/>
      <c r="E670" s="26"/>
      <c r="F670" s="28" t="s">
        <v>2104</v>
      </c>
      <c r="G670" s="28" t="s">
        <v>2105</v>
      </c>
      <c r="H670" s="28" t="s">
        <v>2106</v>
      </c>
      <c r="I670" s="28" t="s">
        <v>2107</v>
      </c>
      <c r="J670" s="28" t="s">
        <v>2108</v>
      </c>
      <c r="K670" s="28" t="s">
        <v>2109</v>
      </c>
      <c r="L670" s="25"/>
      <c r="M670" s="25"/>
    </row>
    <row r="671" spans="1:13" ht="21.3" customHeight="1" thickBot="1" x14ac:dyDescent="0.35">
      <c r="A671" s="25"/>
      <c r="B671" s="25"/>
      <c r="C671" s="25"/>
      <c r="D671" s="29"/>
      <c r="E671" s="30" t="s">
        <v>2110</v>
      </c>
      <c r="F671" s="31">
        <v>2</v>
      </c>
      <c r="G671" s="32">
        <v>10</v>
      </c>
      <c r="H671" s="32"/>
      <c r="I671" s="32"/>
      <c r="J671" s="34">
        <f>ROUND(F671*G671,3)</f>
        <v>20</v>
      </c>
      <c r="K671" s="36">
        <f>SUM(J671:J671)</f>
        <v>20</v>
      </c>
      <c r="L671" s="25"/>
      <c r="M671" s="25"/>
    </row>
    <row r="672" spans="1:13" ht="58.35" customHeight="1" thickBot="1" x14ac:dyDescent="0.35">
      <c r="A672" s="5" t="s">
        <v>2111</v>
      </c>
      <c r="B672" s="5" t="s">
        <v>2112</v>
      </c>
      <c r="C672" s="5" t="s">
        <v>2113</v>
      </c>
      <c r="D672" s="82" t="s">
        <v>2114</v>
      </c>
      <c r="E672" s="82"/>
      <c r="F672" s="82"/>
      <c r="G672" s="82"/>
      <c r="H672" s="82"/>
      <c r="I672" s="82"/>
      <c r="J672" s="82"/>
      <c r="K672" s="23">
        <v>1</v>
      </c>
      <c r="L672" s="23">
        <f>ROUND(2.505,3)</f>
        <v>2.5049999999999999</v>
      </c>
      <c r="M672" s="24">
        <f>ROUND(K672*L672,2)</f>
        <v>2.5099999999999998</v>
      </c>
    </row>
    <row r="673" spans="1:13" ht="15.15" customHeight="1" thickBot="1" x14ac:dyDescent="0.35">
      <c r="A673" s="5" t="s">
        <v>2115</v>
      </c>
      <c r="B673" s="5" t="s">
        <v>2116</v>
      </c>
      <c r="C673" s="5" t="s">
        <v>2117</v>
      </c>
      <c r="D673" s="82" t="s">
        <v>2118</v>
      </c>
      <c r="E673" s="82"/>
      <c r="F673" s="82"/>
      <c r="G673" s="82"/>
      <c r="H673" s="82"/>
      <c r="I673" s="82"/>
      <c r="J673" s="82"/>
      <c r="K673" s="23">
        <v>2.4E-2</v>
      </c>
      <c r="L673" s="23">
        <f>ROUND(30,3)</f>
        <v>30</v>
      </c>
      <c r="M673" s="24">
        <f>ROUND(K673*L673,2)</f>
        <v>0.72</v>
      </c>
    </row>
    <row r="674" spans="1:13" ht="15.15" customHeight="1" thickBot="1" x14ac:dyDescent="0.35">
      <c r="A674" s="5" t="s">
        <v>2119</v>
      </c>
      <c r="B674" s="5" t="s">
        <v>2120</v>
      </c>
      <c r="C674" s="5" t="s">
        <v>2121</v>
      </c>
      <c r="D674" s="82" t="s">
        <v>2122</v>
      </c>
      <c r="E674" s="82"/>
      <c r="F674" s="82"/>
      <c r="G674" s="82"/>
      <c r="H674" s="82"/>
      <c r="I674" s="82"/>
      <c r="J674" s="82"/>
      <c r="K674" s="23">
        <v>2.8000000000000001E-2</v>
      </c>
      <c r="L674" s="23">
        <f>ROUND(26,3)</f>
        <v>26</v>
      </c>
      <c r="M674" s="24">
        <f>ROUND(K674*L674,2)</f>
        <v>0.73</v>
      </c>
    </row>
    <row r="675" spans="1:13" ht="15.15" customHeight="1" thickBot="1" x14ac:dyDescent="0.35">
      <c r="A675" s="5" t="s">
        <v>2123</v>
      </c>
      <c r="B675" s="5"/>
      <c r="C675" s="5" t="s">
        <v>2124</v>
      </c>
      <c r="D675" s="82" t="s">
        <v>2125</v>
      </c>
      <c r="E675" s="82"/>
      <c r="F675" s="82"/>
      <c r="G675" s="82"/>
      <c r="H675" s="82"/>
      <c r="I675" s="82"/>
      <c r="J675" s="82"/>
      <c r="K675" s="23">
        <v>2</v>
      </c>
      <c r="L675" s="23">
        <f>ROUND(3.96,3)</f>
        <v>3.96</v>
      </c>
      <c r="M675" s="24">
        <f>ROUND((K675*L675)/100,2)</f>
        <v>0.08</v>
      </c>
    </row>
    <row r="676" spans="1:13" ht="15.45" customHeight="1" thickBot="1" x14ac:dyDescent="0.35">
      <c r="A676" s="37"/>
      <c r="B676" s="37"/>
      <c r="C676" s="37"/>
      <c r="D676" s="38" t="s">
        <v>2126</v>
      </c>
      <c r="E676" s="37"/>
      <c r="F676" s="37"/>
      <c r="G676" s="37"/>
      <c r="H676" s="37"/>
      <c r="I676" s="37"/>
      <c r="J676" s="37"/>
      <c r="K676" s="39">
        <v>20</v>
      </c>
      <c r="L676" s="40">
        <f>ROUND((M672+M673+M674+M675)*(1+M2/100),2)</f>
        <v>4.16</v>
      </c>
      <c r="M676" s="40">
        <f>ROUND(K676*L676,2)</f>
        <v>83.2</v>
      </c>
    </row>
    <row r="677" spans="1:13" ht="15.45" customHeight="1" thickBot="1" x14ac:dyDescent="0.35">
      <c r="A677" s="41"/>
      <c r="B677" s="41"/>
      <c r="C677" s="41"/>
      <c r="D677" s="42" t="s">
        <v>2127</v>
      </c>
      <c r="E677" s="43"/>
      <c r="F677" s="43"/>
      <c r="G677" s="43"/>
      <c r="H677" s="43"/>
      <c r="I677" s="43"/>
      <c r="J677" s="43"/>
      <c r="K677" s="43"/>
      <c r="L677" s="44">
        <f>M637+M648+M661+M669</f>
        <v>4293.3599999999997</v>
      </c>
      <c r="M677" s="44">
        <f>ROUND(L677,2)</f>
        <v>4293.3599999999997</v>
      </c>
    </row>
    <row r="678" spans="1:13" ht="15.45" customHeight="1" thickBot="1" x14ac:dyDescent="0.35">
      <c r="A678" s="54" t="s">
        <v>2128</v>
      </c>
      <c r="B678" s="54" t="s">
        <v>2129</v>
      </c>
      <c r="C678" s="55"/>
      <c r="D678" s="84" t="s">
        <v>2130</v>
      </c>
      <c r="E678" s="84"/>
      <c r="F678" s="84"/>
      <c r="G678" s="84"/>
      <c r="H678" s="84"/>
      <c r="I678" s="84"/>
      <c r="J678" s="84"/>
      <c r="K678" s="55"/>
      <c r="L678" s="56">
        <f>L718</f>
        <v>454.86</v>
      </c>
      <c r="M678" s="56">
        <f>ROUND(L678,2)</f>
        <v>454.86</v>
      </c>
    </row>
    <row r="679" spans="1:13" ht="15.45" customHeight="1" thickBot="1" x14ac:dyDescent="0.35">
      <c r="A679" s="10" t="s">
        <v>2131</v>
      </c>
      <c r="B679" s="5" t="s">
        <v>2132</v>
      </c>
      <c r="C679" s="5" t="s">
        <v>2133</v>
      </c>
      <c r="D679" s="82" t="s">
        <v>2134</v>
      </c>
      <c r="E679" s="82"/>
      <c r="F679" s="82"/>
      <c r="G679" s="82"/>
      <c r="H679" s="82"/>
      <c r="I679" s="82"/>
      <c r="J679" s="82"/>
      <c r="K679" s="23">
        <f>ROUND(6,2)</f>
        <v>6</v>
      </c>
      <c r="L679" s="24">
        <f>L683</f>
        <v>11.01</v>
      </c>
      <c r="M679" s="24">
        <f>ROUND(K679*L679,2)</f>
        <v>66.06</v>
      </c>
    </row>
    <row r="680" spans="1:13" ht="30.6" customHeight="1" thickBot="1" x14ac:dyDescent="0.35">
      <c r="A680" s="5" t="s">
        <v>2135</v>
      </c>
      <c r="B680" s="5" t="s">
        <v>2136</v>
      </c>
      <c r="C680" s="5" t="s">
        <v>2137</v>
      </c>
      <c r="D680" s="82" t="s">
        <v>2138</v>
      </c>
      <c r="E680" s="82"/>
      <c r="F680" s="82"/>
      <c r="G680" s="82"/>
      <c r="H680" s="82"/>
      <c r="I680" s="82"/>
      <c r="J680" s="82"/>
      <c r="K680" s="23">
        <v>1</v>
      </c>
      <c r="L680" s="23">
        <f>ROUND(6.282,3)</f>
        <v>6.282</v>
      </c>
      <c r="M680" s="24">
        <f>ROUND(K680*L680,2)</f>
        <v>6.28</v>
      </c>
    </row>
    <row r="681" spans="1:13" ht="15.15" customHeight="1" thickBot="1" x14ac:dyDescent="0.35">
      <c r="A681" s="5" t="s">
        <v>2139</v>
      </c>
      <c r="B681" s="5" t="s">
        <v>2140</v>
      </c>
      <c r="C681" s="5" t="s">
        <v>2141</v>
      </c>
      <c r="D681" s="82" t="s">
        <v>2142</v>
      </c>
      <c r="E681" s="82"/>
      <c r="F681" s="82"/>
      <c r="G681" s="82"/>
      <c r="H681" s="82"/>
      <c r="I681" s="82"/>
      <c r="J681" s="82"/>
      <c r="K681" s="23">
        <v>0.14000000000000001</v>
      </c>
      <c r="L681" s="23">
        <f>ROUND(30,3)</f>
        <v>30</v>
      </c>
      <c r="M681" s="24">
        <f>ROUND(K681*L681,2)</f>
        <v>4.2</v>
      </c>
    </row>
    <row r="682" spans="1:13" ht="15.15" customHeight="1" thickBot="1" x14ac:dyDescent="0.35">
      <c r="A682" s="5" t="s">
        <v>2143</v>
      </c>
      <c r="B682" s="5"/>
      <c r="C682" s="5" t="s">
        <v>2144</v>
      </c>
      <c r="D682" s="82" t="s">
        <v>2145</v>
      </c>
      <c r="E682" s="82"/>
      <c r="F682" s="82"/>
      <c r="G682" s="82"/>
      <c r="H682" s="82"/>
      <c r="I682" s="82"/>
      <c r="J682" s="82"/>
      <c r="K682" s="23">
        <v>2</v>
      </c>
      <c r="L682" s="23">
        <f>ROUND(10.48,3)</f>
        <v>10.48</v>
      </c>
      <c r="M682" s="24">
        <f>ROUND((K682*L682)/100,2)</f>
        <v>0.21</v>
      </c>
    </row>
    <row r="683" spans="1:13" ht="15.45" customHeight="1" thickBot="1" x14ac:dyDescent="0.35">
      <c r="A683" s="37"/>
      <c r="B683" s="37"/>
      <c r="C683" s="37"/>
      <c r="D683" s="38" t="s">
        <v>2146</v>
      </c>
      <c r="E683" s="37"/>
      <c r="F683" s="37"/>
      <c r="G683" s="37"/>
      <c r="H683" s="37"/>
      <c r="I683" s="37"/>
      <c r="J683" s="37"/>
      <c r="K683" s="39">
        <v>6</v>
      </c>
      <c r="L683" s="40">
        <f>ROUND((M680+M681+M682)*(1+M2/100),2)</f>
        <v>11.01</v>
      </c>
      <c r="M683" s="40">
        <f>ROUND(K683*L683,2)</f>
        <v>66.06</v>
      </c>
    </row>
    <row r="684" spans="1:13" ht="15.45" customHeight="1" thickBot="1" x14ac:dyDescent="0.35">
      <c r="A684" s="58" t="s">
        <v>2147</v>
      </c>
      <c r="B684" s="59" t="s">
        <v>2148</v>
      </c>
      <c r="C684" s="59" t="s">
        <v>2149</v>
      </c>
      <c r="D684" s="85" t="s">
        <v>2150</v>
      </c>
      <c r="E684" s="85"/>
      <c r="F684" s="85"/>
      <c r="G684" s="85"/>
      <c r="H684" s="85"/>
      <c r="I684" s="85"/>
      <c r="J684" s="85"/>
      <c r="K684" s="60">
        <f>ROUND(2,2)</f>
        <v>2</v>
      </c>
      <c r="L684" s="61">
        <f>L688</f>
        <v>11.03</v>
      </c>
      <c r="M684" s="61">
        <f>ROUND(K684*L684,2)</f>
        <v>22.06</v>
      </c>
    </row>
    <row r="685" spans="1:13" ht="30.6" customHeight="1" thickBot="1" x14ac:dyDescent="0.35">
      <c r="A685" s="5" t="s">
        <v>2151</v>
      </c>
      <c r="B685" s="5" t="s">
        <v>2152</v>
      </c>
      <c r="C685" s="5" t="s">
        <v>2153</v>
      </c>
      <c r="D685" s="82" t="s">
        <v>2154</v>
      </c>
      <c r="E685" s="82"/>
      <c r="F685" s="82"/>
      <c r="G685" s="82"/>
      <c r="H685" s="82"/>
      <c r="I685" s="82"/>
      <c r="J685" s="82"/>
      <c r="K685" s="23">
        <v>1</v>
      </c>
      <c r="L685" s="23">
        <f>ROUND(6.296,3)</f>
        <v>6.2960000000000003</v>
      </c>
      <c r="M685" s="24">
        <f>ROUND(K685*L685,2)</f>
        <v>6.3</v>
      </c>
    </row>
    <row r="686" spans="1:13" ht="15.15" customHeight="1" thickBot="1" x14ac:dyDescent="0.35">
      <c r="A686" s="5" t="s">
        <v>2155</v>
      </c>
      <c r="B686" s="5" t="s">
        <v>2156</v>
      </c>
      <c r="C686" s="5" t="s">
        <v>2157</v>
      </c>
      <c r="D686" s="82" t="s">
        <v>2158</v>
      </c>
      <c r="E686" s="82"/>
      <c r="F686" s="82"/>
      <c r="G686" s="82"/>
      <c r="H686" s="82"/>
      <c r="I686" s="82"/>
      <c r="J686" s="82"/>
      <c r="K686" s="23">
        <v>0.14000000000000001</v>
      </c>
      <c r="L686" s="23">
        <f>ROUND(30,3)</f>
        <v>30</v>
      </c>
      <c r="M686" s="24">
        <f>ROUND(K686*L686,2)</f>
        <v>4.2</v>
      </c>
    </row>
    <row r="687" spans="1:13" ht="15.15" customHeight="1" thickBot="1" x14ac:dyDescent="0.35">
      <c r="A687" s="5" t="s">
        <v>2159</v>
      </c>
      <c r="B687" s="5"/>
      <c r="C687" s="5" t="s">
        <v>2160</v>
      </c>
      <c r="D687" s="82" t="s">
        <v>2161</v>
      </c>
      <c r="E687" s="82"/>
      <c r="F687" s="82"/>
      <c r="G687" s="82"/>
      <c r="H687" s="82"/>
      <c r="I687" s="82"/>
      <c r="J687" s="82"/>
      <c r="K687" s="23">
        <v>2</v>
      </c>
      <c r="L687" s="23">
        <f>ROUND(10.5,3)</f>
        <v>10.5</v>
      </c>
      <c r="M687" s="24">
        <f>ROUND((K687*L687)/100,2)</f>
        <v>0.21</v>
      </c>
    </row>
    <row r="688" spans="1:13" ht="15.45" customHeight="1" thickBot="1" x14ac:dyDescent="0.35">
      <c r="A688" s="37"/>
      <c r="B688" s="37"/>
      <c r="C688" s="37"/>
      <c r="D688" s="38" t="s">
        <v>2162</v>
      </c>
      <c r="E688" s="37"/>
      <c r="F688" s="37"/>
      <c r="G688" s="37"/>
      <c r="H688" s="37"/>
      <c r="I688" s="37"/>
      <c r="J688" s="37"/>
      <c r="K688" s="39">
        <v>2</v>
      </c>
      <c r="L688" s="40">
        <f>ROUND((M685+M686+M687)*(1+M2/100),2)</f>
        <v>11.03</v>
      </c>
      <c r="M688" s="40">
        <f t="shared" ref="M688:M697" si="30">ROUND(K688*L688,2)</f>
        <v>22.06</v>
      </c>
    </row>
    <row r="689" spans="1:13" ht="15.45" customHeight="1" thickBot="1" x14ac:dyDescent="0.35">
      <c r="A689" s="58" t="s">
        <v>2163</v>
      </c>
      <c r="B689" s="59" t="s">
        <v>2164</v>
      </c>
      <c r="C689" s="59" t="s">
        <v>2165</v>
      </c>
      <c r="D689" s="85" t="s">
        <v>2166</v>
      </c>
      <c r="E689" s="85"/>
      <c r="F689" s="85"/>
      <c r="G689" s="85"/>
      <c r="H689" s="85"/>
      <c r="I689" s="85"/>
      <c r="J689" s="85"/>
      <c r="K689" s="60">
        <f>ROUND(2,2)</f>
        <v>2</v>
      </c>
      <c r="L689" s="61">
        <f>L717</f>
        <v>183.37</v>
      </c>
      <c r="M689" s="61">
        <f t="shared" si="30"/>
        <v>366.74</v>
      </c>
    </row>
    <row r="690" spans="1:13" ht="15.15" customHeight="1" thickBot="1" x14ac:dyDescent="0.35">
      <c r="A690" s="5" t="s">
        <v>2167</v>
      </c>
      <c r="B690" s="5" t="s">
        <v>2168</v>
      </c>
      <c r="C690" s="5" t="s">
        <v>2169</v>
      </c>
      <c r="D690" s="82" t="s">
        <v>2170</v>
      </c>
      <c r="E690" s="82"/>
      <c r="F690" s="82"/>
      <c r="G690" s="82"/>
      <c r="H690" s="82"/>
      <c r="I690" s="82"/>
      <c r="J690" s="82"/>
      <c r="K690" s="23">
        <v>1.2999999999999999E-2</v>
      </c>
      <c r="L690" s="23">
        <f>ROUND(26,3)</f>
        <v>26</v>
      </c>
      <c r="M690" s="24">
        <f t="shared" si="30"/>
        <v>0.34</v>
      </c>
    </row>
    <row r="691" spans="1:13" ht="15.15" customHeight="1" thickBot="1" x14ac:dyDescent="0.35">
      <c r="A691" s="5" t="s">
        <v>2171</v>
      </c>
      <c r="B691" s="5" t="s">
        <v>2172</v>
      </c>
      <c r="C691" s="5" t="s">
        <v>2173</v>
      </c>
      <c r="D691" s="82" t="s">
        <v>2174</v>
      </c>
      <c r="E691" s="82"/>
      <c r="F691" s="82"/>
      <c r="G691" s="82"/>
      <c r="H691" s="82"/>
      <c r="I691" s="82"/>
      <c r="J691" s="82"/>
      <c r="K691" s="23">
        <v>1.2999999999999999E-2</v>
      </c>
      <c r="L691" s="23">
        <f>ROUND(30,3)</f>
        <v>30</v>
      </c>
      <c r="M691" s="24">
        <f t="shared" si="30"/>
        <v>0.39</v>
      </c>
    </row>
    <row r="692" spans="1:13" ht="15.15" customHeight="1" thickBot="1" x14ac:dyDescent="0.35">
      <c r="A692" s="5" t="s">
        <v>2175</v>
      </c>
      <c r="B692" s="5" t="s">
        <v>2176</v>
      </c>
      <c r="C692" s="5" t="s">
        <v>2177</v>
      </c>
      <c r="D692" s="82" t="s">
        <v>2178</v>
      </c>
      <c r="E692" s="82"/>
      <c r="F692" s="82"/>
      <c r="G692" s="82"/>
      <c r="H692" s="82"/>
      <c r="I692" s="82"/>
      <c r="J692" s="82"/>
      <c r="K692" s="23">
        <v>1</v>
      </c>
      <c r="L692" s="23">
        <f>ROUND(29.168,3)</f>
        <v>29.167999999999999</v>
      </c>
      <c r="M692" s="24">
        <f t="shared" si="30"/>
        <v>29.17</v>
      </c>
    </row>
    <row r="693" spans="1:13" ht="15.15" customHeight="1" thickBot="1" x14ac:dyDescent="0.35">
      <c r="A693" s="5" t="s">
        <v>2179</v>
      </c>
      <c r="B693" s="5" t="s">
        <v>2180</v>
      </c>
      <c r="C693" s="5" t="s">
        <v>2181</v>
      </c>
      <c r="D693" s="82" t="s">
        <v>2182</v>
      </c>
      <c r="E693" s="82"/>
      <c r="F693" s="82"/>
      <c r="G693" s="82"/>
      <c r="H693" s="82"/>
      <c r="I693" s="82"/>
      <c r="J693" s="82"/>
      <c r="K693" s="23">
        <v>1</v>
      </c>
      <c r="L693" s="23">
        <f>ROUND(0.866,3)</f>
        <v>0.86599999999999999</v>
      </c>
      <c r="M693" s="24">
        <f t="shared" si="30"/>
        <v>0.87</v>
      </c>
    </row>
    <row r="694" spans="1:13" ht="15.15" customHeight="1" thickBot="1" x14ac:dyDescent="0.35">
      <c r="A694" s="5" t="s">
        <v>2183</v>
      </c>
      <c r="B694" s="5" t="s">
        <v>2184</v>
      </c>
      <c r="C694" s="5" t="s">
        <v>2185</v>
      </c>
      <c r="D694" s="82" t="s">
        <v>2186</v>
      </c>
      <c r="E694" s="82"/>
      <c r="F694" s="82"/>
      <c r="G694" s="82"/>
      <c r="H694" s="82"/>
      <c r="I694" s="82"/>
      <c r="J694" s="82"/>
      <c r="K694" s="23">
        <v>2</v>
      </c>
      <c r="L694" s="23">
        <f>L699</f>
        <v>10.76</v>
      </c>
      <c r="M694" s="24">
        <f t="shared" si="30"/>
        <v>21.52</v>
      </c>
    </row>
    <row r="695" spans="1:13" ht="15.15" customHeight="1" thickBot="1" x14ac:dyDescent="0.35">
      <c r="A695" s="5" t="s">
        <v>2187</v>
      </c>
      <c r="B695" s="5" t="s">
        <v>2188</v>
      </c>
      <c r="C695" s="5" t="s">
        <v>2189</v>
      </c>
      <c r="D695" s="82" t="s">
        <v>2190</v>
      </c>
      <c r="E695" s="82"/>
      <c r="F695" s="82"/>
      <c r="G695" s="82"/>
      <c r="H695" s="82"/>
      <c r="I695" s="82"/>
      <c r="J695" s="82"/>
      <c r="K695" s="23">
        <v>0.13100000000000001</v>
      </c>
      <c r="L695" s="23">
        <f>ROUND(26,3)</f>
        <v>26</v>
      </c>
      <c r="M695" s="24">
        <f t="shared" si="30"/>
        <v>3.41</v>
      </c>
    </row>
    <row r="696" spans="1:13" ht="15.15" customHeight="1" thickBot="1" x14ac:dyDescent="0.35">
      <c r="A696" s="5" t="s">
        <v>2191</v>
      </c>
      <c r="B696" s="5" t="s">
        <v>2192</v>
      </c>
      <c r="C696" s="5" t="s">
        <v>2193</v>
      </c>
      <c r="D696" s="82" t="s">
        <v>2194</v>
      </c>
      <c r="E696" s="82"/>
      <c r="F696" s="82"/>
      <c r="G696" s="82"/>
      <c r="H696" s="82"/>
      <c r="I696" s="82"/>
      <c r="J696" s="82"/>
      <c r="K696" s="23">
        <v>0.13100000000000001</v>
      </c>
      <c r="L696" s="23">
        <f>ROUND(30,3)</f>
        <v>30</v>
      </c>
      <c r="M696" s="24">
        <f t="shared" si="30"/>
        <v>3.93</v>
      </c>
    </row>
    <row r="697" spans="1:13" ht="15.15" customHeight="1" thickBot="1" x14ac:dyDescent="0.35">
      <c r="A697" s="5" t="s">
        <v>2195</v>
      </c>
      <c r="B697" s="5" t="s">
        <v>2196</v>
      </c>
      <c r="C697" s="5" t="s">
        <v>2197</v>
      </c>
      <c r="D697" s="82" t="s">
        <v>2198</v>
      </c>
      <c r="E697" s="82"/>
      <c r="F697" s="82"/>
      <c r="G697" s="82"/>
      <c r="H697" s="82"/>
      <c r="I697" s="82"/>
      <c r="J697" s="82"/>
      <c r="K697" s="23">
        <v>1</v>
      </c>
      <c r="L697" s="23">
        <f>ROUND(3.314,3)</f>
        <v>3.3140000000000001</v>
      </c>
      <c r="M697" s="24">
        <f t="shared" si="30"/>
        <v>3.31</v>
      </c>
    </row>
    <row r="698" spans="1:13" ht="15.15" customHeight="1" thickBot="1" x14ac:dyDescent="0.35">
      <c r="A698" s="5" t="s">
        <v>2199</v>
      </c>
      <c r="B698" s="5"/>
      <c r="C698" s="5" t="s">
        <v>2200</v>
      </c>
      <c r="D698" s="82" t="s">
        <v>2201</v>
      </c>
      <c r="E698" s="82"/>
      <c r="F698" s="82"/>
      <c r="G698" s="82"/>
      <c r="H698" s="82"/>
      <c r="I698" s="82"/>
      <c r="J698" s="82"/>
      <c r="K698" s="23">
        <v>1.5</v>
      </c>
      <c r="L698" s="23">
        <f>ROUND(7.34,3)</f>
        <v>7.34</v>
      </c>
      <c r="M698" s="24">
        <f>ROUND((K698*L698)/100,2)</f>
        <v>0.11</v>
      </c>
    </row>
    <row r="699" spans="1:13" ht="15.15" customHeight="1" thickBot="1" x14ac:dyDescent="0.35">
      <c r="A699" s="25"/>
      <c r="B699" s="25"/>
      <c r="C699" s="25"/>
      <c r="D699" s="5" t="s">
        <v>2202</v>
      </c>
      <c r="E699" s="25"/>
      <c r="F699" s="25"/>
      <c r="G699" s="25"/>
      <c r="H699" s="25"/>
      <c r="I699" s="25"/>
      <c r="J699" s="25"/>
      <c r="K699" s="23">
        <v>2</v>
      </c>
      <c r="L699" s="23">
        <f>ROUND((M695+M696+M697+M698),3)</f>
        <v>10.76</v>
      </c>
      <c r="M699" s="24">
        <f>ROUND(K699*L699,2)</f>
        <v>21.52</v>
      </c>
    </row>
    <row r="700" spans="1:13" ht="15.15" customHeight="1" thickBot="1" x14ac:dyDescent="0.35">
      <c r="A700" s="5" t="s">
        <v>2203</v>
      </c>
      <c r="B700" s="5" t="s">
        <v>2204</v>
      </c>
      <c r="C700" s="5" t="s">
        <v>2205</v>
      </c>
      <c r="D700" s="82" t="s">
        <v>2206</v>
      </c>
      <c r="E700" s="82"/>
      <c r="F700" s="82"/>
      <c r="G700" s="82"/>
      <c r="H700" s="82"/>
      <c r="I700" s="82"/>
      <c r="J700" s="82"/>
      <c r="K700" s="23">
        <v>4</v>
      </c>
      <c r="L700" s="23">
        <f>L705</f>
        <v>8.89</v>
      </c>
      <c r="M700" s="24">
        <f>ROUND(K700*L700,2)</f>
        <v>35.56</v>
      </c>
    </row>
    <row r="701" spans="1:13" ht="15.15" customHeight="1" thickBot="1" x14ac:dyDescent="0.35">
      <c r="A701" s="5" t="s">
        <v>2207</v>
      </c>
      <c r="B701" s="5" t="s">
        <v>2208</v>
      </c>
      <c r="C701" s="5" t="s">
        <v>2209</v>
      </c>
      <c r="D701" s="82" t="s">
        <v>2210</v>
      </c>
      <c r="E701" s="82"/>
      <c r="F701" s="82"/>
      <c r="G701" s="82"/>
      <c r="H701" s="82"/>
      <c r="I701" s="82"/>
      <c r="J701" s="82"/>
      <c r="K701" s="23">
        <v>0.104</v>
      </c>
      <c r="L701" s="23">
        <f>ROUND(26,3)</f>
        <v>26</v>
      </c>
      <c r="M701" s="24">
        <f>ROUND(K701*L701,2)</f>
        <v>2.7</v>
      </c>
    </row>
    <row r="702" spans="1:13" ht="15.15" customHeight="1" thickBot="1" x14ac:dyDescent="0.35">
      <c r="A702" s="5" t="s">
        <v>2211</v>
      </c>
      <c r="B702" s="5" t="s">
        <v>2212</v>
      </c>
      <c r="C702" s="5" t="s">
        <v>2213</v>
      </c>
      <c r="D702" s="82" t="s">
        <v>2214</v>
      </c>
      <c r="E702" s="82"/>
      <c r="F702" s="82"/>
      <c r="G702" s="82"/>
      <c r="H702" s="82"/>
      <c r="I702" s="82"/>
      <c r="J702" s="82"/>
      <c r="K702" s="23">
        <v>0.104</v>
      </c>
      <c r="L702" s="23">
        <f>ROUND(30,3)</f>
        <v>30</v>
      </c>
      <c r="M702" s="24">
        <f>ROUND(K702*L702,2)</f>
        <v>3.12</v>
      </c>
    </row>
    <row r="703" spans="1:13" ht="15.15" customHeight="1" thickBot="1" x14ac:dyDescent="0.35">
      <c r="A703" s="5" t="s">
        <v>2215</v>
      </c>
      <c r="B703" s="5" t="s">
        <v>2216</v>
      </c>
      <c r="C703" s="5" t="s">
        <v>2217</v>
      </c>
      <c r="D703" s="82" t="s">
        <v>2218</v>
      </c>
      <c r="E703" s="82"/>
      <c r="F703" s="82"/>
      <c r="G703" s="82"/>
      <c r="H703" s="82"/>
      <c r="I703" s="82"/>
      <c r="J703" s="82"/>
      <c r="K703" s="23">
        <v>1</v>
      </c>
      <c r="L703" s="23">
        <f>ROUND(2.98,3)</f>
        <v>2.98</v>
      </c>
      <c r="M703" s="24">
        <f>ROUND(K703*L703,2)</f>
        <v>2.98</v>
      </c>
    </row>
    <row r="704" spans="1:13" ht="15.15" customHeight="1" thickBot="1" x14ac:dyDescent="0.35">
      <c r="A704" s="5" t="s">
        <v>2219</v>
      </c>
      <c r="B704" s="5"/>
      <c r="C704" s="5" t="s">
        <v>2220</v>
      </c>
      <c r="D704" s="82" t="s">
        <v>2221</v>
      </c>
      <c r="E704" s="82"/>
      <c r="F704" s="82"/>
      <c r="G704" s="82"/>
      <c r="H704" s="82"/>
      <c r="I704" s="82"/>
      <c r="J704" s="82"/>
      <c r="K704" s="23">
        <v>1.5</v>
      </c>
      <c r="L704" s="23">
        <f>ROUND(5.82,3)</f>
        <v>5.82</v>
      </c>
      <c r="M704" s="24">
        <f>ROUND((K704*L704)/100,2)</f>
        <v>0.09</v>
      </c>
    </row>
    <row r="705" spans="1:13" ht="15.15" customHeight="1" thickBot="1" x14ac:dyDescent="0.35">
      <c r="A705" s="25"/>
      <c r="B705" s="25"/>
      <c r="C705" s="25"/>
      <c r="D705" s="5" t="s">
        <v>2222</v>
      </c>
      <c r="E705" s="25"/>
      <c r="F705" s="25"/>
      <c r="G705" s="25"/>
      <c r="H705" s="25"/>
      <c r="I705" s="25"/>
      <c r="J705" s="25"/>
      <c r="K705" s="23">
        <v>4</v>
      </c>
      <c r="L705" s="23">
        <f>ROUND((M701+M702+M703+M704),3)</f>
        <v>8.89</v>
      </c>
      <c r="M705" s="24">
        <f>ROUND(K705*L705,2)</f>
        <v>35.56</v>
      </c>
    </row>
    <row r="706" spans="1:13" ht="15.15" customHeight="1" thickBot="1" x14ac:dyDescent="0.35">
      <c r="A706" s="5" t="s">
        <v>2223</v>
      </c>
      <c r="B706" s="5" t="s">
        <v>2224</v>
      </c>
      <c r="C706" s="5" t="s">
        <v>2225</v>
      </c>
      <c r="D706" s="82" t="s">
        <v>2226</v>
      </c>
      <c r="E706" s="82"/>
      <c r="F706" s="82"/>
      <c r="G706" s="82"/>
      <c r="H706" s="82"/>
      <c r="I706" s="82"/>
      <c r="J706" s="82"/>
      <c r="K706" s="23">
        <v>2</v>
      </c>
      <c r="L706" s="23">
        <f>L710</f>
        <v>19.420000000000002</v>
      </c>
      <c r="M706" s="24">
        <f>ROUND(K706*L706,2)</f>
        <v>38.840000000000003</v>
      </c>
    </row>
    <row r="707" spans="1:13" ht="30.6" customHeight="1" thickBot="1" x14ac:dyDescent="0.35">
      <c r="A707" s="5" t="s">
        <v>2227</v>
      </c>
      <c r="B707" s="5" t="s">
        <v>2228</v>
      </c>
      <c r="C707" s="5" t="s">
        <v>2229</v>
      </c>
      <c r="D707" s="82" t="s">
        <v>2230</v>
      </c>
      <c r="E707" s="82"/>
      <c r="F707" s="82"/>
      <c r="G707" s="82"/>
      <c r="H707" s="82"/>
      <c r="I707" s="82"/>
      <c r="J707" s="82"/>
      <c r="K707" s="23">
        <v>1</v>
      </c>
      <c r="L707" s="23">
        <f>ROUND(14.844,3)</f>
        <v>14.843999999999999</v>
      </c>
      <c r="M707" s="24">
        <f>ROUND(K707*L707,2)</f>
        <v>14.84</v>
      </c>
    </row>
    <row r="708" spans="1:13" ht="15.15" customHeight="1" thickBot="1" x14ac:dyDescent="0.35">
      <c r="A708" s="5" t="s">
        <v>2231</v>
      </c>
      <c r="B708" s="5" t="s">
        <v>2232</v>
      </c>
      <c r="C708" s="5" t="s">
        <v>2233</v>
      </c>
      <c r="D708" s="82" t="s">
        <v>2234</v>
      </c>
      <c r="E708" s="82"/>
      <c r="F708" s="82"/>
      <c r="G708" s="82"/>
      <c r="H708" s="82"/>
      <c r="I708" s="82"/>
      <c r="J708" s="82"/>
      <c r="K708" s="23">
        <v>0.14000000000000001</v>
      </c>
      <c r="L708" s="23">
        <f>ROUND(30,3)</f>
        <v>30</v>
      </c>
      <c r="M708" s="24">
        <f>ROUND(K708*L708,2)</f>
        <v>4.2</v>
      </c>
    </row>
    <row r="709" spans="1:13" ht="15.15" customHeight="1" thickBot="1" x14ac:dyDescent="0.35">
      <c r="A709" s="5" t="s">
        <v>2235</v>
      </c>
      <c r="B709" s="5"/>
      <c r="C709" s="5" t="s">
        <v>2236</v>
      </c>
      <c r="D709" s="82" t="s">
        <v>2237</v>
      </c>
      <c r="E709" s="82"/>
      <c r="F709" s="82"/>
      <c r="G709" s="82"/>
      <c r="H709" s="82"/>
      <c r="I709" s="82"/>
      <c r="J709" s="82"/>
      <c r="K709" s="23">
        <v>2</v>
      </c>
      <c r="L709" s="23">
        <f>ROUND(19.04,3)</f>
        <v>19.04</v>
      </c>
      <c r="M709" s="24">
        <f>ROUND((K709*L709)/100,2)</f>
        <v>0.38</v>
      </c>
    </row>
    <row r="710" spans="1:13" ht="15.15" customHeight="1" thickBot="1" x14ac:dyDescent="0.35">
      <c r="A710" s="25"/>
      <c r="B710" s="25"/>
      <c r="C710" s="25"/>
      <c r="D710" s="5" t="s">
        <v>2238</v>
      </c>
      <c r="E710" s="25"/>
      <c r="F710" s="25"/>
      <c r="G710" s="25"/>
      <c r="H710" s="25"/>
      <c r="I710" s="25"/>
      <c r="J710" s="25"/>
      <c r="K710" s="23">
        <v>2</v>
      </c>
      <c r="L710" s="23">
        <f>ROUND((M707+M708+M709),3)</f>
        <v>19.420000000000002</v>
      </c>
      <c r="M710" s="24">
        <f>ROUND(K710*L710,2)</f>
        <v>38.840000000000003</v>
      </c>
    </row>
    <row r="711" spans="1:13" ht="15.15" customHeight="1" thickBot="1" x14ac:dyDescent="0.35">
      <c r="A711" s="5" t="s">
        <v>2239</v>
      </c>
      <c r="B711" s="5" t="s">
        <v>2240</v>
      </c>
      <c r="C711" s="5" t="s">
        <v>2241</v>
      </c>
      <c r="D711" s="82" t="s">
        <v>2242</v>
      </c>
      <c r="E711" s="82"/>
      <c r="F711" s="82"/>
      <c r="G711" s="82"/>
      <c r="H711" s="82"/>
      <c r="I711" s="82"/>
      <c r="J711" s="82"/>
      <c r="K711" s="23">
        <v>1</v>
      </c>
      <c r="L711" s="23">
        <f>L715</f>
        <v>51.33</v>
      </c>
      <c r="M711" s="24">
        <f>ROUND(K711*L711,2)</f>
        <v>51.33</v>
      </c>
    </row>
    <row r="712" spans="1:13" ht="30.6" customHeight="1" thickBot="1" x14ac:dyDescent="0.35">
      <c r="A712" s="5" t="s">
        <v>2243</v>
      </c>
      <c r="B712" s="5" t="s">
        <v>2244</v>
      </c>
      <c r="C712" s="5" t="s">
        <v>2245</v>
      </c>
      <c r="D712" s="82" t="s">
        <v>2246</v>
      </c>
      <c r="E712" s="82"/>
      <c r="F712" s="82"/>
      <c r="G712" s="82"/>
      <c r="H712" s="82"/>
      <c r="I712" s="82"/>
      <c r="J712" s="82"/>
      <c r="K712" s="23">
        <v>1</v>
      </c>
      <c r="L712" s="23">
        <f>ROUND(44.442,3)</f>
        <v>44.442</v>
      </c>
      <c r="M712" s="24">
        <f>ROUND(K712*L712,2)</f>
        <v>44.44</v>
      </c>
    </row>
    <row r="713" spans="1:13" ht="15.15" customHeight="1" thickBot="1" x14ac:dyDescent="0.35">
      <c r="A713" s="5" t="s">
        <v>2247</v>
      </c>
      <c r="B713" s="5" t="s">
        <v>2248</v>
      </c>
      <c r="C713" s="5" t="s">
        <v>2249</v>
      </c>
      <c r="D713" s="82" t="s">
        <v>2250</v>
      </c>
      <c r="E713" s="82"/>
      <c r="F713" s="82"/>
      <c r="G713" s="82"/>
      <c r="H713" s="82"/>
      <c r="I713" s="82"/>
      <c r="J713" s="82"/>
      <c r="K713" s="23">
        <v>0.19600000000000001</v>
      </c>
      <c r="L713" s="23">
        <f>ROUND(30,3)</f>
        <v>30</v>
      </c>
      <c r="M713" s="24">
        <f>ROUND(K713*L713,2)</f>
        <v>5.88</v>
      </c>
    </row>
    <row r="714" spans="1:13" ht="15.15" customHeight="1" thickBot="1" x14ac:dyDescent="0.35">
      <c r="A714" s="5" t="s">
        <v>2251</v>
      </c>
      <c r="B714" s="5"/>
      <c r="C714" s="5" t="s">
        <v>2252</v>
      </c>
      <c r="D714" s="82" t="s">
        <v>2253</v>
      </c>
      <c r="E714" s="82"/>
      <c r="F714" s="82"/>
      <c r="G714" s="82"/>
      <c r="H714" s="82"/>
      <c r="I714" s="82"/>
      <c r="J714" s="82"/>
      <c r="K714" s="23">
        <v>2</v>
      </c>
      <c r="L714" s="23">
        <f>ROUND(50.32,3)</f>
        <v>50.32</v>
      </c>
      <c r="M714" s="24">
        <f>ROUND((K714*L714)/100,2)</f>
        <v>1.01</v>
      </c>
    </row>
    <row r="715" spans="1:13" ht="15.15" customHeight="1" thickBot="1" x14ac:dyDescent="0.35">
      <c r="A715" s="25"/>
      <c r="B715" s="25"/>
      <c r="C715" s="25"/>
      <c r="D715" s="5" t="s">
        <v>2254</v>
      </c>
      <c r="E715" s="25"/>
      <c r="F715" s="25"/>
      <c r="G715" s="25"/>
      <c r="H715" s="25"/>
      <c r="I715" s="25"/>
      <c r="J715" s="25"/>
      <c r="K715" s="23">
        <v>1</v>
      </c>
      <c r="L715" s="23">
        <f>ROUND((M712+M713+M714),3)</f>
        <v>51.33</v>
      </c>
      <c r="M715" s="24">
        <f>ROUND(K715*L715,2)</f>
        <v>51.33</v>
      </c>
    </row>
    <row r="716" spans="1:13" ht="15.15" customHeight="1" thickBot="1" x14ac:dyDescent="0.35">
      <c r="A716" s="5" t="s">
        <v>2255</v>
      </c>
      <c r="B716" s="5"/>
      <c r="C716" s="5" t="s">
        <v>2256</v>
      </c>
      <c r="D716" s="82" t="s">
        <v>2257</v>
      </c>
      <c r="E716" s="82"/>
      <c r="F716" s="82"/>
      <c r="G716" s="82"/>
      <c r="H716" s="82"/>
      <c r="I716" s="82"/>
      <c r="J716" s="82"/>
      <c r="K716" s="23">
        <v>1.5</v>
      </c>
      <c r="L716" s="23">
        <f>ROUND(0.73,3)</f>
        <v>0.73</v>
      </c>
      <c r="M716" s="24">
        <f>ROUND((K716*L716)/100,2)</f>
        <v>0.01</v>
      </c>
    </row>
    <row r="717" spans="1:13" ht="15.45" customHeight="1" thickBot="1" x14ac:dyDescent="0.35">
      <c r="A717" s="37"/>
      <c r="B717" s="37"/>
      <c r="C717" s="37"/>
      <c r="D717" s="38" t="s">
        <v>2258</v>
      </c>
      <c r="E717" s="37"/>
      <c r="F717" s="37"/>
      <c r="G717" s="37"/>
      <c r="H717" s="37"/>
      <c r="I717" s="37"/>
      <c r="J717" s="37"/>
      <c r="K717" s="39">
        <v>2</v>
      </c>
      <c r="L717" s="40">
        <f>ROUND((M690+M691+M692+M693+M694+M700+M706+M711+M716)*(1+M2/100),2)</f>
        <v>183.37</v>
      </c>
      <c r="M717" s="40">
        <f>ROUND(K717*L717,2)</f>
        <v>366.74</v>
      </c>
    </row>
    <row r="718" spans="1:13" ht="15.45" customHeight="1" thickBot="1" x14ac:dyDescent="0.35">
      <c r="A718" s="41"/>
      <c r="B718" s="41"/>
      <c r="C718" s="41"/>
      <c r="D718" s="42" t="s">
        <v>2259</v>
      </c>
      <c r="E718" s="43"/>
      <c r="F718" s="43"/>
      <c r="G718" s="43"/>
      <c r="H718" s="43"/>
      <c r="I718" s="43"/>
      <c r="J718" s="43"/>
      <c r="K718" s="43"/>
      <c r="L718" s="44">
        <f>M679+M684+M689</f>
        <v>454.86</v>
      </c>
      <c r="M718" s="44">
        <f>ROUND(L718,2)</f>
        <v>454.86</v>
      </c>
    </row>
    <row r="719" spans="1:13" ht="15.45" customHeight="1" thickBot="1" x14ac:dyDescent="0.35">
      <c r="A719" s="54" t="s">
        <v>2260</v>
      </c>
      <c r="B719" s="54" t="s">
        <v>2261</v>
      </c>
      <c r="C719" s="55"/>
      <c r="D719" s="84" t="s">
        <v>2262</v>
      </c>
      <c r="E719" s="84"/>
      <c r="F719" s="84"/>
      <c r="G719" s="84"/>
      <c r="H719" s="84"/>
      <c r="I719" s="84"/>
      <c r="J719" s="84"/>
      <c r="K719" s="55"/>
      <c r="L719" s="56">
        <f>L744</f>
        <v>3629.2</v>
      </c>
      <c r="M719" s="56">
        <f>ROUND(L719,2)</f>
        <v>3629.2</v>
      </c>
    </row>
    <row r="720" spans="1:13" ht="15.45" customHeight="1" thickBot="1" x14ac:dyDescent="0.35">
      <c r="A720" s="10" t="s">
        <v>2263</v>
      </c>
      <c r="B720" s="5" t="s">
        <v>2264</v>
      </c>
      <c r="C720" s="5" t="s">
        <v>2265</v>
      </c>
      <c r="D720" s="82" t="s">
        <v>2266</v>
      </c>
      <c r="E720" s="82"/>
      <c r="F720" s="82"/>
      <c r="G720" s="82"/>
      <c r="H720" s="82"/>
      <c r="I720" s="82"/>
      <c r="J720" s="82"/>
      <c r="K720" s="23">
        <f>ROUND(12,2)</f>
        <v>12</v>
      </c>
      <c r="L720" s="24">
        <f>L725</f>
        <v>64.91</v>
      </c>
      <c r="M720" s="24">
        <f>ROUND(K720*L720,2)</f>
        <v>778.92</v>
      </c>
    </row>
    <row r="721" spans="1:13" ht="15.15" customHeight="1" thickBot="1" x14ac:dyDescent="0.35">
      <c r="A721" s="5" t="s">
        <v>2267</v>
      </c>
      <c r="B721" s="5" t="s">
        <v>2268</v>
      </c>
      <c r="C721" s="5" t="s">
        <v>2269</v>
      </c>
      <c r="D721" s="82" t="s">
        <v>2270</v>
      </c>
      <c r="E721" s="82"/>
      <c r="F721" s="82"/>
      <c r="G721" s="82"/>
      <c r="H721" s="82"/>
      <c r="I721" s="82"/>
      <c r="J721" s="82"/>
      <c r="K721" s="23">
        <v>1</v>
      </c>
      <c r="L721" s="23">
        <f>ROUND(46.678,3)</f>
        <v>46.677999999999997</v>
      </c>
      <c r="M721" s="24">
        <f>ROUND(K721*L721,2)</f>
        <v>46.68</v>
      </c>
    </row>
    <row r="722" spans="1:13" ht="15.15" customHeight="1" thickBot="1" x14ac:dyDescent="0.35">
      <c r="A722" s="5" t="s">
        <v>2271</v>
      </c>
      <c r="B722" s="5" t="s">
        <v>2272</v>
      </c>
      <c r="C722" s="5" t="s">
        <v>2273</v>
      </c>
      <c r="D722" s="82" t="s">
        <v>2274</v>
      </c>
      <c r="E722" s="82"/>
      <c r="F722" s="82"/>
      <c r="G722" s="82"/>
      <c r="H722" s="82"/>
      <c r="I722" s="82"/>
      <c r="J722" s="82"/>
      <c r="K722" s="23">
        <v>0.25900000000000001</v>
      </c>
      <c r="L722" s="23">
        <f>ROUND(30,3)</f>
        <v>30</v>
      </c>
      <c r="M722" s="24">
        <f>ROUND(K722*L722,2)</f>
        <v>7.77</v>
      </c>
    </row>
    <row r="723" spans="1:13" ht="15.15" customHeight="1" thickBot="1" x14ac:dyDescent="0.35">
      <c r="A723" s="5" t="s">
        <v>2275</v>
      </c>
      <c r="B723" s="5" t="s">
        <v>2276</v>
      </c>
      <c r="C723" s="5" t="s">
        <v>2277</v>
      </c>
      <c r="D723" s="82" t="s">
        <v>2278</v>
      </c>
      <c r="E723" s="82"/>
      <c r="F723" s="82"/>
      <c r="G723" s="82"/>
      <c r="H723" s="82"/>
      <c r="I723" s="82"/>
      <c r="J723" s="82"/>
      <c r="K723" s="23">
        <v>0.25900000000000001</v>
      </c>
      <c r="L723" s="23">
        <f>ROUND(26,3)</f>
        <v>26</v>
      </c>
      <c r="M723" s="24">
        <f>ROUND(K723*L723,2)</f>
        <v>6.73</v>
      </c>
    </row>
    <row r="724" spans="1:13" ht="15.15" customHeight="1" thickBot="1" x14ac:dyDescent="0.35">
      <c r="A724" s="5" t="s">
        <v>2279</v>
      </c>
      <c r="B724" s="5"/>
      <c r="C724" s="5" t="s">
        <v>2280</v>
      </c>
      <c r="D724" s="82" t="s">
        <v>2281</v>
      </c>
      <c r="E724" s="82"/>
      <c r="F724" s="82"/>
      <c r="G724" s="82"/>
      <c r="H724" s="82"/>
      <c r="I724" s="82"/>
      <c r="J724" s="82"/>
      <c r="K724" s="23">
        <v>3</v>
      </c>
      <c r="L724" s="23">
        <f>ROUND(61.18,3)</f>
        <v>61.18</v>
      </c>
      <c r="M724" s="24">
        <f>ROUND((K724*L724)/100,2)</f>
        <v>1.84</v>
      </c>
    </row>
    <row r="725" spans="1:13" ht="15.45" customHeight="1" thickBot="1" x14ac:dyDescent="0.35">
      <c r="A725" s="37"/>
      <c r="B725" s="37"/>
      <c r="C725" s="37"/>
      <c r="D725" s="38" t="s">
        <v>2282</v>
      </c>
      <c r="E725" s="37"/>
      <c r="F725" s="37"/>
      <c r="G725" s="37"/>
      <c r="H725" s="37"/>
      <c r="I725" s="37"/>
      <c r="J725" s="37"/>
      <c r="K725" s="39">
        <v>12</v>
      </c>
      <c r="L725" s="40">
        <f>ROUND((M721+M722+M723+M724)*(1+M2/100),2)</f>
        <v>64.91</v>
      </c>
      <c r="M725" s="40">
        <f>ROUND(K725*L725,2)</f>
        <v>778.92</v>
      </c>
    </row>
    <row r="726" spans="1:13" ht="21.3" customHeight="1" thickBot="1" x14ac:dyDescent="0.35">
      <c r="A726" s="58" t="s">
        <v>2283</v>
      </c>
      <c r="B726" s="59" t="s">
        <v>2284</v>
      </c>
      <c r="C726" s="59" t="s">
        <v>2285</v>
      </c>
      <c r="D726" s="85" t="s">
        <v>2286</v>
      </c>
      <c r="E726" s="85"/>
      <c r="F726" s="85"/>
      <c r="G726" s="85"/>
      <c r="H726" s="85"/>
      <c r="I726" s="85"/>
      <c r="J726" s="85"/>
      <c r="K726" s="60">
        <f>ROUND(48,2)</f>
        <v>48</v>
      </c>
      <c r="L726" s="61">
        <f>L731</f>
        <v>42.33</v>
      </c>
      <c r="M726" s="61">
        <f>ROUND(K726*L726,2)</f>
        <v>2031.84</v>
      </c>
    </row>
    <row r="727" spans="1:13" ht="15.15" customHeight="1" thickBot="1" x14ac:dyDescent="0.35">
      <c r="A727" s="5" t="s">
        <v>2287</v>
      </c>
      <c r="B727" s="5" t="s">
        <v>2288</v>
      </c>
      <c r="C727" s="5" t="s">
        <v>2289</v>
      </c>
      <c r="D727" s="82" t="s">
        <v>2290</v>
      </c>
      <c r="E727" s="82"/>
      <c r="F727" s="82"/>
      <c r="G727" s="82"/>
      <c r="H727" s="82"/>
      <c r="I727" s="82"/>
      <c r="J727" s="82"/>
      <c r="K727" s="23">
        <v>0.13</v>
      </c>
      <c r="L727" s="23">
        <f>ROUND(26,3)</f>
        <v>26</v>
      </c>
      <c r="M727" s="24">
        <f>ROUND(K727*L727,2)</f>
        <v>3.38</v>
      </c>
    </row>
    <row r="728" spans="1:13" ht="15.15" customHeight="1" thickBot="1" x14ac:dyDescent="0.35">
      <c r="A728" s="5" t="s">
        <v>2291</v>
      </c>
      <c r="B728" s="5" t="s">
        <v>2292</v>
      </c>
      <c r="C728" s="5" t="s">
        <v>2293</v>
      </c>
      <c r="D728" s="82" t="s">
        <v>2294</v>
      </c>
      <c r="E728" s="82"/>
      <c r="F728" s="82"/>
      <c r="G728" s="82"/>
      <c r="H728" s="82"/>
      <c r="I728" s="82"/>
      <c r="J728" s="82"/>
      <c r="K728" s="23">
        <v>0.13</v>
      </c>
      <c r="L728" s="23">
        <f>ROUND(30,3)</f>
        <v>30</v>
      </c>
      <c r="M728" s="24">
        <f>ROUND(K728*L728,2)</f>
        <v>3.9</v>
      </c>
    </row>
    <row r="729" spans="1:13" ht="15.15" customHeight="1" thickBot="1" x14ac:dyDescent="0.35">
      <c r="A729" s="5" t="s">
        <v>2295</v>
      </c>
      <c r="B729" s="5" t="s">
        <v>2296</v>
      </c>
      <c r="C729" s="5" t="s">
        <v>2297</v>
      </c>
      <c r="D729" s="82" t="s">
        <v>2298</v>
      </c>
      <c r="E729" s="82"/>
      <c r="F729" s="82"/>
      <c r="G729" s="82"/>
      <c r="H729" s="82"/>
      <c r="I729" s="82"/>
      <c r="J729" s="82"/>
      <c r="K729" s="23">
        <v>1</v>
      </c>
      <c r="L729" s="23">
        <f>ROUND(33.712,3)</f>
        <v>33.712000000000003</v>
      </c>
      <c r="M729" s="24">
        <f>ROUND(K729*L729,2)</f>
        <v>33.71</v>
      </c>
    </row>
    <row r="730" spans="1:13" ht="15.15" customHeight="1" thickBot="1" x14ac:dyDescent="0.35">
      <c r="A730" s="5" t="s">
        <v>2299</v>
      </c>
      <c r="B730" s="5"/>
      <c r="C730" s="5" t="s">
        <v>2300</v>
      </c>
      <c r="D730" s="82" t="s">
        <v>2301</v>
      </c>
      <c r="E730" s="82"/>
      <c r="F730" s="82"/>
      <c r="G730" s="82"/>
      <c r="H730" s="82"/>
      <c r="I730" s="82"/>
      <c r="J730" s="82"/>
      <c r="K730" s="23">
        <v>1.5</v>
      </c>
      <c r="L730" s="23">
        <f>ROUND(7.28,3)</f>
        <v>7.28</v>
      </c>
      <c r="M730" s="24">
        <f>ROUND((K730*L730)/100,2)</f>
        <v>0.11</v>
      </c>
    </row>
    <row r="731" spans="1:13" ht="15.45" customHeight="1" thickBot="1" x14ac:dyDescent="0.35">
      <c r="A731" s="37"/>
      <c r="B731" s="37"/>
      <c r="C731" s="37"/>
      <c r="D731" s="38" t="s">
        <v>2302</v>
      </c>
      <c r="E731" s="37"/>
      <c r="F731" s="37"/>
      <c r="G731" s="37"/>
      <c r="H731" s="37"/>
      <c r="I731" s="37"/>
      <c r="J731" s="37"/>
      <c r="K731" s="39">
        <v>48</v>
      </c>
      <c r="L731" s="40">
        <f>ROUND((M727+M728+M729+M730)*(1+M2/100),2)</f>
        <v>42.33</v>
      </c>
      <c r="M731" s="40">
        <f>ROUND(K731*L731,2)</f>
        <v>2031.84</v>
      </c>
    </row>
    <row r="732" spans="1:13" ht="15.45" customHeight="1" thickBot="1" x14ac:dyDescent="0.35">
      <c r="A732" s="58" t="s">
        <v>2303</v>
      </c>
      <c r="B732" s="59" t="s">
        <v>2304</v>
      </c>
      <c r="C732" s="59" t="s">
        <v>2305</v>
      </c>
      <c r="D732" s="85" t="s">
        <v>2306</v>
      </c>
      <c r="E732" s="85"/>
      <c r="F732" s="85"/>
      <c r="G732" s="85"/>
      <c r="H732" s="85"/>
      <c r="I732" s="85"/>
      <c r="J732" s="85"/>
      <c r="K732" s="60">
        <f>ROUND(21,2)</f>
        <v>21</v>
      </c>
      <c r="L732" s="61">
        <f>L737</f>
        <v>35.47</v>
      </c>
      <c r="M732" s="61">
        <f>ROUND(K732*L732,2)</f>
        <v>744.87</v>
      </c>
    </row>
    <row r="733" spans="1:13" ht="15.15" customHeight="1" thickBot="1" x14ac:dyDescent="0.35">
      <c r="A733" s="5" t="s">
        <v>2307</v>
      </c>
      <c r="B733" s="5" t="s">
        <v>2308</v>
      </c>
      <c r="C733" s="5" t="s">
        <v>2309</v>
      </c>
      <c r="D733" s="82" t="s">
        <v>2310</v>
      </c>
      <c r="E733" s="82"/>
      <c r="F733" s="82"/>
      <c r="G733" s="82"/>
      <c r="H733" s="82"/>
      <c r="I733" s="82"/>
      <c r="J733" s="82"/>
      <c r="K733" s="23">
        <v>0.104</v>
      </c>
      <c r="L733" s="23">
        <f>ROUND(26,3)</f>
        <v>26</v>
      </c>
      <c r="M733" s="24">
        <f>ROUND(K733*L733,2)</f>
        <v>2.7</v>
      </c>
    </row>
    <row r="734" spans="1:13" ht="15.15" customHeight="1" thickBot="1" x14ac:dyDescent="0.35">
      <c r="A734" s="5" t="s">
        <v>2311</v>
      </c>
      <c r="B734" s="5" t="s">
        <v>2312</v>
      </c>
      <c r="C734" s="5" t="s">
        <v>2313</v>
      </c>
      <c r="D734" s="82" t="s">
        <v>2314</v>
      </c>
      <c r="E734" s="82"/>
      <c r="F734" s="82"/>
      <c r="G734" s="82"/>
      <c r="H734" s="82"/>
      <c r="I734" s="82"/>
      <c r="J734" s="82"/>
      <c r="K734" s="23">
        <v>0.104</v>
      </c>
      <c r="L734" s="23">
        <f>ROUND(30,3)</f>
        <v>30</v>
      </c>
      <c r="M734" s="24">
        <f>ROUND(K734*L734,2)</f>
        <v>3.12</v>
      </c>
    </row>
    <row r="735" spans="1:13" ht="15.15" customHeight="1" thickBot="1" x14ac:dyDescent="0.35">
      <c r="A735" s="5" t="s">
        <v>2315</v>
      </c>
      <c r="B735" s="5" t="s">
        <v>2316</v>
      </c>
      <c r="C735" s="5" t="s">
        <v>2317</v>
      </c>
      <c r="D735" s="82" t="s">
        <v>2318</v>
      </c>
      <c r="E735" s="82"/>
      <c r="F735" s="82"/>
      <c r="G735" s="82"/>
      <c r="H735" s="82"/>
      <c r="I735" s="82"/>
      <c r="J735" s="82"/>
      <c r="K735" s="23">
        <v>1</v>
      </c>
      <c r="L735" s="23">
        <f>ROUND(28.525,3)</f>
        <v>28.524999999999999</v>
      </c>
      <c r="M735" s="24">
        <f>ROUND(K735*L735,2)</f>
        <v>28.53</v>
      </c>
    </row>
    <row r="736" spans="1:13" ht="15.15" customHeight="1" thickBot="1" x14ac:dyDescent="0.35">
      <c r="A736" s="5" t="s">
        <v>2319</v>
      </c>
      <c r="B736" s="5"/>
      <c r="C736" s="5" t="s">
        <v>2320</v>
      </c>
      <c r="D736" s="82" t="s">
        <v>2321</v>
      </c>
      <c r="E736" s="82"/>
      <c r="F736" s="82"/>
      <c r="G736" s="82"/>
      <c r="H736" s="82"/>
      <c r="I736" s="82"/>
      <c r="J736" s="82"/>
      <c r="K736" s="23">
        <v>1.5</v>
      </c>
      <c r="L736" s="23">
        <f>ROUND(5.82,3)</f>
        <v>5.82</v>
      </c>
      <c r="M736" s="24">
        <f>ROUND((K736*L736)/100,2)</f>
        <v>0.09</v>
      </c>
    </row>
    <row r="737" spans="1:13" ht="15.45" customHeight="1" thickBot="1" x14ac:dyDescent="0.35">
      <c r="A737" s="37"/>
      <c r="B737" s="37"/>
      <c r="C737" s="37"/>
      <c r="D737" s="38" t="s">
        <v>2322</v>
      </c>
      <c r="E737" s="37"/>
      <c r="F737" s="37"/>
      <c r="G737" s="37"/>
      <c r="H737" s="37"/>
      <c r="I737" s="37"/>
      <c r="J737" s="37"/>
      <c r="K737" s="39">
        <v>21</v>
      </c>
      <c r="L737" s="40">
        <f>ROUND((M733+M734+M735+M736)*(1+M2/100),2)</f>
        <v>35.47</v>
      </c>
      <c r="M737" s="40">
        <f>ROUND(K737*L737,2)</f>
        <v>744.87</v>
      </c>
    </row>
    <row r="738" spans="1:13" ht="21.3" customHeight="1" thickBot="1" x14ac:dyDescent="0.35">
      <c r="A738" s="58" t="s">
        <v>2323</v>
      </c>
      <c r="B738" s="59" t="s">
        <v>2324</v>
      </c>
      <c r="C738" s="59" t="s">
        <v>2325</v>
      </c>
      <c r="D738" s="85" t="s">
        <v>2326</v>
      </c>
      <c r="E738" s="85"/>
      <c r="F738" s="85"/>
      <c r="G738" s="85"/>
      <c r="H738" s="85"/>
      <c r="I738" s="85"/>
      <c r="J738" s="85"/>
      <c r="K738" s="60">
        <f>ROUND(1,2)</f>
        <v>1</v>
      </c>
      <c r="L738" s="61">
        <f>L743</f>
        <v>73.569999999999993</v>
      </c>
      <c r="M738" s="61">
        <f>ROUND(K738*L738,2)</f>
        <v>73.569999999999993</v>
      </c>
    </row>
    <row r="739" spans="1:13" ht="15.15" customHeight="1" thickBot="1" x14ac:dyDescent="0.35">
      <c r="A739" s="5" t="s">
        <v>2327</v>
      </c>
      <c r="B739" s="5" t="s">
        <v>2328</v>
      </c>
      <c r="C739" s="5" t="s">
        <v>2329</v>
      </c>
      <c r="D739" s="82" t="s">
        <v>2330</v>
      </c>
      <c r="E739" s="82"/>
      <c r="F739" s="82"/>
      <c r="G739" s="82"/>
      <c r="H739" s="82"/>
      <c r="I739" s="82"/>
      <c r="J739" s="82"/>
      <c r="K739" s="23">
        <v>0.253</v>
      </c>
      <c r="L739" s="23">
        <f>ROUND(26,3)</f>
        <v>26</v>
      </c>
      <c r="M739" s="24">
        <f>ROUND(K739*L739,2)</f>
        <v>6.58</v>
      </c>
    </row>
    <row r="740" spans="1:13" ht="15.15" customHeight="1" thickBot="1" x14ac:dyDescent="0.35">
      <c r="A740" s="5" t="s">
        <v>2331</v>
      </c>
      <c r="B740" s="5" t="s">
        <v>2332</v>
      </c>
      <c r="C740" s="5" t="s">
        <v>2333</v>
      </c>
      <c r="D740" s="82" t="s">
        <v>2334</v>
      </c>
      <c r="E740" s="82"/>
      <c r="F740" s="82"/>
      <c r="G740" s="82"/>
      <c r="H740" s="82"/>
      <c r="I740" s="82"/>
      <c r="J740" s="82"/>
      <c r="K740" s="23">
        <v>0.253</v>
      </c>
      <c r="L740" s="23">
        <f>ROUND(30,3)</f>
        <v>30</v>
      </c>
      <c r="M740" s="24">
        <f>ROUND(K740*L740,2)</f>
        <v>7.59</v>
      </c>
    </row>
    <row r="741" spans="1:13" ht="21.3" customHeight="1" thickBot="1" x14ac:dyDescent="0.35">
      <c r="A741" s="5" t="s">
        <v>2335</v>
      </c>
      <c r="B741" s="5" t="s">
        <v>2336</v>
      </c>
      <c r="C741" s="5" t="s">
        <v>2337</v>
      </c>
      <c r="D741" s="82" t="s">
        <v>2338</v>
      </c>
      <c r="E741" s="82"/>
      <c r="F741" s="82"/>
      <c r="G741" s="82"/>
      <c r="H741" s="82"/>
      <c r="I741" s="82"/>
      <c r="J741" s="82"/>
      <c r="K741" s="23">
        <v>1</v>
      </c>
      <c r="L741" s="23">
        <f>ROUND(57.051,3)</f>
        <v>57.051000000000002</v>
      </c>
      <c r="M741" s="24">
        <f>ROUND(K741*L741,2)</f>
        <v>57.05</v>
      </c>
    </row>
    <row r="742" spans="1:13" ht="15.15" customHeight="1" thickBot="1" x14ac:dyDescent="0.35">
      <c r="A742" s="5" t="s">
        <v>2339</v>
      </c>
      <c r="B742" s="5"/>
      <c r="C742" s="5" t="s">
        <v>2340</v>
      </c>
      <c r="D742" s="82" t="s">
        <v>2341</v>
      </c>
      <c r="E742" s="82"/>
      <c r="F742" s="82"/>
      <c r="G742" s="82"/>
      <c r="H742" s="82"/>
      <c r="I742" s="82"/>
      <c r="J742" s="82"/>
      <c r="K742" s="23">
        <v>1.5</v>
      </c>
      <c r="L742" s="23">
        <f>ROUND(14.17,3)</f>
        <v>14.17</v>
      </c>
      <c r="M742" s="24">
        <f>ROUND((K742*L742)/100,2)</f>
        <v>0.21</v>
      </c>
    </row>
    <row r="743" spans="1:13" ht="15.45" customHeight="1" thickBot="1" x14ac:dyDescent="0.35">
      <c r="A743" s="37"/>
      <c r="B743" s="37"/>
      <c r="C743" s="37"/>
      <c r="D743" s="38" t="s">
        <v>2342</v>
      </c>
      <c r="E743" s="37"/>
      <c r="F743" s="37"/>
      <c r="G743" s="37"/>
      <c r="H743" s="37"/>
      <c r="I743" s="37"/>
      <c r="J743" s="37"/>
      <c r="K743" s="39">
        <v>1</v>
      </c>
      <c r="L743" s="40">
        <f>ROUND((M739+M740+M741+M742)*(1+M2/100),2)</f>
        <v>73.569999999999993</v>
      </c>
      <c r="M743" s="40">
        <f>ROUND(K743*L743,2)</f>
        <v>73.569999999999993</v>
      </c>
    </row>
    <row r="744" spans="1:13" ht="15.45" customHeight="1" thickBot="1" x14ac:dyDescent="0.35">
      <c r="A744" s="41"/>
      <c r="B744" s="41"/>
      <c r="C744" s="41"/>
      <c r="D744" s="42" t="s">
        <v>2343</v>
      </c>
      <c r="E744" s="43"/>
      <c r="F744" s="43"/>
      <c r="G744" s="43"/>
      <c r="H744" s="43"/>
      <c r="I744" s="43"/>
      <c r="J744" s="43"/>
      <c r="K744" s="43"/>
      <c r="L744" s="44">
        <f>M720+M726+M732+M738</f>
        <v>3629.2</v>
      </c>
      <c r="M744" s="44">
        <f>ROUND(L744,2)</f>
        <v>3629.2</v>
      </c>
    </row>
    <row r="745" spans="1:13" ht="15.45" customHeight="1" thickBot="1" x14ac:dyDescent="0.35">
      <c r="A745" s="54" t="s">
        <v>2344</v>
      </c>
      <c r="B745" s="54" t="s">
        <v>2345</v>
      </c>
      <c r="C745" s="55"/>
      <c r="D745" s="84" t="s">
        <v>2346</v>
      </c>
      <c r="E745" s="84"/>
      <c r="F745" s="84"/>
      <c r="G745" s="84"/>
      <c r="H745" s="84"/>
      <c r="I745" s="84"/>
      <c r="J745" s="84"/>
      <c r="K745" s="55"/>
      <c r="L745" s="56">
        <f>L773</f>
        <v>1671.13</v>
      </c>
      <c r="M745" s="56">
        <f>ROUND(L745,2)</f>
        <v>1671.13</v>
      </c>
    </row>
    <row r="746" spans="1:13" ht="15.45" customHeight="1" thickBot="1" x14ac:dyDescent="0.35">
      <c r="A746" s="10" t="s">
        <v>2347</v>
      </c>
      <c r="B746" s="5" t="s">
        <v>2348</v>
      </c>
      <c r="C746" s="5" t="s">
        <v>2349</v>
      </c>
      <c r="D746" s="82" t="s">
        <v>2350</v>
      </c>
      <c r="E746" s="82"/>
      <c r="F746" s="82"/>
      <c r="G746" s="82"/>
      <c r="H746" s="82"/>
      <c r="I746" s="82"/>
      <c r="J746" s="82"/>
      <c r="K746" s="23">
        <f>SUM(K748:K751)</f>
        <v>201</v>
      </c>
      <c r="L746" s="24">
        <f>L757</f>
        <v>7.68</v>
      </c>
      <c r="M746" s="24">
        <f>ROUND(K746*L746,2)</f>
        <v>1543.68</v>
      </c>
    </row>
    <row r="747" spans="1:13" ht="15.15" customHeight="1" thickBot="1" x14ac:dyDescent="0.35">
      <c r="A747" s="25"/>
      <c r="B747" s="25"/>
      <c r="C747" s="25"/>
      <c r="D747" s="25"/>
      <c r="E747" s="26"/>
      <c r="F747" s="28" t="s">
        <v>2351</v>
      </c>
      <c r="G747" s="28" t="s">
        <v>2352</v>
      </c>
      <c r="H747" s="28" t="s">
        <v>2353</v>
      </c>
      <c r="I747" s="28" t="s">
        <v>2354</v>
      </c>
      <c r="J747" s="28" t="s">
        <v>2355</v>
      </c>
      <c r="K747" s="28" t="s">
        <v>2356</v>
      </c>
      <c r="L747" s="25"/>
      <c r="M747" s="25"/>
    </row>
    <row r="748" spans="1:13" ht="15.15" customHeight="1" thickBot="1" x14ac:dyDescent="0.35">
      <c r="A748" s="25"/>
      <c r="B748" s="25"/>
      <c r="C748" s="25"/>
      <c r="D748" s="29"/>
      <c r="E748" s="30"/>
      <c r="F748" s="31">
        <v>1</v>
      </c>
      <c r="G748" s="32">
        <v>120</v>
      </c>
      <c r="H748" s="32"/>
      <c r="I748" s="32"/>
      <c r="J748" s="34">
        <f>ROUND(F748*G748,3)</f>
        <v>120</v>
      </c>
      <c r="K748" s="57"/>
      <c r="L748" s="25"/>
      <c r="M748" s="25"/>
    </row>
    <row r="749" spans="1:13" ht="15.15" customHeight="1" thickBot="1" x14ac:dyDescent="0.35">
      <c r="A749" s="25"/>
      <c r="B749" s="25"/>
      <c r="C749" s="25"/>
      <c r="D749" s="29"/>
      <c r="E749" s="5"/>
      <c r="F749" s="3">
        <v>1</v>
      </c>
      <c r="G749" s="23">
        <v>38</v>
      </c>
      <c r="H749" s="23"/>
      <c r="I749" s="23"/>
      <c r="J749" s="33">
        <f>ROUND(F749*G749,3)</f>
        <v>38</v>
      </c>
      <c r="K749" s="25"/>
      <c r="L749" s="25"/>
      <c r="M749" s="25"/>
    </row>
    <row r="750" spans="1:13" ht="15.15" customHeight="1" thickBot="1" x14ac:dyDescent="0.35">
      <c r="A750" s="25"/>
      <c r="B750" s="25"/>
      <c r="C750" s="25"/>
      <c r="D750" s="29"/>
      <c r="E750" s="5"/>
      <c r="F750" s="3">
        <v>1</v>
      </c>
      <c r="G750" s="23">
        <v>38</v>
      </c>
      <c r="H750" s="23"/>
      <c r="I750" s="23"/>
      <c r="J750" s="33">
        <f>ROUND(F750*G750,3)</f>
        <v>38</v>
      </c>
      <c r="K750" s="25"/>
      <c r="L750" s="25"/>
      <c r="M750" s="25"/>
    </row>
    <row r="751" spans="1:13" ht="15.15" customHeight="1" thickBot="1" x14ac:dyDescent="0.35">
      <c r="A751" s="25"/>
      <c r="B751" s="25"/>
      <c r="C751" s="25"/>
      <c r="D751" s="29"/>
      <c r="E751" s="5"/>
      <c r="F751" s="3">
        <v>1</v>
      </c>
      <c r="G751" s="23">
        <v>5</v>
      </c>
      <c r="H751" s="23"/>
      <c r="I751" s="23"/>
      <c r="J751" s="33">
        <f>ROUND(F751*G751,3)</f>
        <v>5</v>
      </c>
      <c r="K751" s="35">
        <f>SUM(J748:J751)</f>
        <v>201</v>
      </c>
      <c r="L751" s="25"/>
      <c r="M751" s="25"/>
    </row>
    <row r="752" spans="1:13" ht="15.15" customHeight="1" thickBot="1" x14ac:dyDescent="0.35">
      <c r="A752" s="5" t="s">
        <v>2357</v>
      </c>
      <c r="B752" s="5" t="s">
        <v>2358</v>
      </c>
      <c r="C752" s="5" t="s">
        <v>2359</v>
      </c>
      <c r="D752" s="82" t="s">
        <v>2360</v>
      </c>
      <c r="E752" s="82"/>
      <c r="F752" s="82"/>
      <c r="G752" s="82"/>
      <c r="H752" s="82"/>
      <c r="I752" s="82"/>
      <c r="J752" s="82"/>
      <c r="K752" s="23">
        <v>0.104</v>
      </c>
      <c r="L752" s="23">
        <f>ROUND(26,3)</f>
        <v>26</v>
      </c>
      <c r="M752" s="24">
        <f>ROUND(K752*L752,2)</f>
        <v>2.7</v>
      </c>
    </row>
    <row r="753" spans="1:13" ht="15.15" customHeight="1" thickBot="1" x14ac:dyDescent="0.35">
      <c r="A753" s="5" t="s">
        <v>2361</v>
      </c>
      <c r="B753" s="5" t="s">
        <v>2362</v>
      </c>
      <c r="C753" s="5" t="s">
        <v>2363</v>
      </c>
      <c r="D753" s="82" t="s">
        <v>2364</v>
      </c>
      <c r="E753" s="82"/>
      <c r="F753" s="82"/>
      <c r="G753" s="82"/>
      <c r="H753" s="82"/>
      <c r="I753" s="82"/>
      <c r="J753" s="82"/>
      <c r="K753" s="23">
        <v>0.105</v>
      </c>
      <c r="L753" s="23">
        <f>ROUND(30,3)</f>
        <v>30</v>
      </c>
      <c r="M753" s="24">
        <f>ROUND(K753*L753,2)</f>
        <v>3.15</v>
      </c>
    </row>
    <row r="754" spans="1:13" ht="15.15" customHeight="1" thickBot="1" x14ac:dyDescent="0.35">
      <c r="A754" s="5" t="s">
        <v>2365</v>
      </c>
      <c r="B754" s="5" t="s">
        <v>2366</v>
      </c>
      <c r="C754" s="5" t="s">
        <v>2367</v>
      </c>
      <c r="D754" s="82" t="s">
        <v>2368</v>
      </c>
      <c r="E754" s="82"/>
      <c r="F754" s="82"/>
      <c r="G754" s="82"/>
      <c r="H754" s="82"/>
      <c r="I754" s="82"/>
      <c r="J754" s="82"/>
      <c r="K754" s="23">
        <v>1.02</v>
      </c>
      <c r="L754" s="23">
        <f>ROUND(1.364,3)</f>
        <v>1.3640000000000001</v>
      </c>
      <c r="M754" s="24">
        <f>ROUND(K754*L754,2)</f>
        <v>1.39</v>
      </c>
    </row>
    <row r="755" spans="1:13" ht="15.15" customHeight="1" thickBot="1" x14ac:dyDescent="0.35">
      <c r="A755" s="5" t="s">
        <v>2369</v>
      </c>
      <c r="B755" s="5" t="s">
        <v>2370</v>
      </c>
      <c r="C755" s="5" t="s">
        <v>2371</v>
      </c>
      <c r="D755" s="82" t="s">
        <v>2372</v>
      </c>
      <c r="E755" s="82"/>
      <c r="F755" s="82"/>
      <c r="G755" s="82"/>
      <c r="H755" s="82"/>
      <c r="I755" s="82"/>
      <c r="J755" s="82"/>
      <c r="K755" s="23">
        <v>1</v>
      </c>
      <c r="L755" s="23">
        <f>ROUND(0.13,3)</f>
        <v>0.13</v>
      </c>
      <c r="M755" s="24">
        <f>ROUND(K755*L755,2)</f>
        <v>0.13</v>
      </c>
    </row>
    <row r="756" spans="1:13" ht="15.15" customHeight="1" thickBot="1" x14ac:dyDescent="0.35">
      <c r="A756" s="5" t="s">
        <v>2373</v>
      </c>
      <c r="B756" s="5"/>
      <c r="C756" s="5" t="s">
        <v>2374</v>
      </c>
      <c r="D756" s="82" t="s">
        <v>2375</v>
      </c>
      <c r="E756" s="82"/>
      <c r="F756" s="82"/>
      <c r="G756" s="82"/>
      <c r="H756" s="82"/>
      <c r="I756" s="82"/>
      <c r="J756" s="82"/>
      <c r="K756" s="23">
        <v>1.5</v>
      </c>
      <c r="L756" s="23">
        <f>ROUND(5.85,3)</f>
        <v>5.85</v>
      </c>
      <c r="M756" s="24">
        <f>ROUND((K756*L756)/100,2)</f>
        <v>0.09</v>
      </c>
    </row>
    <row r="757" spans="1:13" ht="15.45" customHeight="1" thickBot="1" x14ac:dyDescent="0.35">
      <c r="A757" s="37"/>
      <c r="B757" s="37"/>
      <c r="C757" s="37"/>
      <c r="D757" s="38" t="s">
        <v>2376</v>
      </c>
      <c r="E757" s="37"/>
      <c r="F757" s="37"/>
      <c r="G757" s="37"/>
      <c r="H757" s="37"/>
      <c r="I757" s="37"/>
      <c r="J757" s="37"/>
      <c r="K757" s="39">
        <v>201</v>
      </c>
      <c r="L757" s="40">
        <f>ROUND((M752+M753+M754+M755+M756)*(1+M2/100),2)</f>
        <v>7.68</v>
      </c>
      <c r="M757" s="40">
        <f>ROUND(K757*L757,2)</f>
        <v>1543.68</v>
      </c>
    </row>
    <row r="758" spans="1:13" ht="15.45" customHeight="1" thickBot="1" x14ac:dyDescent="0.35">
      <c r="A758" s="58" t="s">
        <v>2377</v>
      </c>
      <c r="B758" s="59" t="s">
        <v>2378</v>
      </c>
      <c r="C758" s="59" t="s">
        <v>2379</v>
      </c>
      <c r="D758" s="85" t="s">
        <v>2380</v>
      </c>
      <c r="E758" s="85"/>
      <c r="F758" s="85"/>
      <c r="G758" s="85"/>
      <c r="H758" s="85"/>
      <c r="I758" s="85"/>
      <c r="J758" s="85"/>
      <c r="K758" s="60">
        <f>SUM(K760:K760)</f>
        <v>4</v>
      </c>
      <c r="L758" s="61">
        <f>L766</f>
        <v>25.1</v>
      </c>
      <c r="M758" s="61">
        <f>ROUND(K758*L758,2)</f>
        <v>100.4</v>
      </c>
    </row>
    <row r="759" spans="1:13" ht="15.15" customHeight="1" thickBot="1" x14ac:dyDescent="0.35">
      <c r="A759" s="25"/>
      <c r="B759" s="25"/>
      <c r="C759" s="25"/>
      <c r="D759" s="25"/>
      <c r="E759" s="26"/>
      <c r="F759" s="28" t="s">
        <v>2381</v>
      </c>
      <c r="G759" s="28" t="s">
        <v>2382</v>
      </c>
      <c r="H759" s="28" t="s">
        <v>2383</v>
      </c>
      <c r="I759" s="28" t="s">
        <v>2384</v>
      </c>
      <c r="J759" s="28" t="s">
        <v>2385</v>
      </c>
      <c r="K759" s="28" t="s">
        <v>2386</v>
      </c>
      <c r="L759" s="25"/>
      <c r="M759" s="25"/>
    </row>
    <row r="760" spans="1:13" ht="15.15" customHeight="1" thickBot="1" x14ac:dyDescent="0.35">
      <c r="A760" s="25"/>
      <c r="B760" s="25"/>
      <c r="C760" s="25"/>
      <c r="D760" s="29"/>
      <c r="E760" s="30"/>
      <c r="F760" s="31">
        <v>4</v>
      </c>
      <c r="G760" s="32"/>
      <c r="H760" s="32"/>
      <c r="I760" s="32"/>
      <c r="J760" s="34">
        <f>ROUND(F760,3)</f>
        <v>4</v>
      </c>
      <c r="K760" s="36">
        <f>SUM(J760:J760)</f>
        <v>4</v>
      </c>
      <c r="L760" s="25"/>
      <c r="M760" s="25"/>
    </row>
    <row r="761" spans="1:13" ht="15.15" customHeight="1" thickBot="1" x14ac:dyDescent="0.35">
      <c r="A761" s="5" t="s">
        <v>2387</v>
      </c>
      <c r="B761" s="5" t="s">
        <v>2388</v>
      </c>
      <c r="C761" s="5" t="s">
        <v>2389</v>
      </c>
      <c r="D761" s="82" t="s">
        <v>2390</v>
      </c>
      <c r="E761" s="82"/>
      <c r="F761" s="82"/>
      <c r="G761" s="82"/>
      <c r="H761" s="82"/>
      <c r="I761" s="82"/>
      <c r="J761" s="82"/>
      <c r="K761" s="23">
        <v>0.13</v>
      </c>
      <c r="L761" s="23">
        <f>ROUND(26,3)</f>
        <v>26</v>
      </c>
      <c r="M761" s="24">
        <f>ROUND(K761*L761,2)</f>
        <v>3.38</v>
      </c>
    </row>
    <row r="762" spans="1:13" ht="15.15" customHeight="1" thickBot="1" x14ac:dyDescent="0.35">
      <c r="A762" s="5" t="s">
        <v>2391</v>
      </c>
      <c r="B762" s="5" t="s">
        <v>2392</v>
      </c>
      <c r="C762" s="5" t="s">
        <v>2393</v>
      </c>
      <c r="D762" s="82" t="s">
        <v>2394</v>
      </c>
      <c r="E762" s="82"/>
      <c r="F762" s="82"/>
      <c r="G762" s="82"/>
      <c r="H762" s="82"/>
      <c r="I762" s="82"/>
      <c r="J762" s="82"/>
      <c r="K762" s="23">
        <v>0.13</v>
      </c>
      <c r="L762" s="23">
        <f>ROUND(30,3)</f>
        <v>30</v>
      </c>
      <c r="M762" s="24">
        <f>ROUND(K762*L762,2)</f>
        <v>3.9</v>
      </c>
    </row>
    <row r="763" spans="1:13" ht="15.15" customHeight="1" thickBot="1" x14ac:dyDescent="0.35">
      <c r="A763" s="5" t="s">
        <v>2395</v>
      </c>
      <c r="B763" s="5" t="s">
        <v>2396</v>
      </c>
      <c r="C763" s="5" t="s">
        <v>2397</v>
      </c>
      <c r="D763" s="82" t="s">
        <v>2398</v>
      </c>
      <c r="E763" s="82"/>
      <c r="F763" s="82"/>
      <c r="G763" s="82"/>
      <c r="H763" s="82"/>
      <c r="I763" s="82"/>
      <c r="J763" s="82"/>
      <c r="K763" s="23">
        <v>1</v>
      </c>
      <c r="L763" s="23">
        <f>ROUND(14.019,3)</f>
        <v>14.019</v>
      </c>
      <c r="M763" s="24">
        <f>ROUND(K763*L763,2)</f>
        <v>14.02</v>
      </c>
    </row>
    <row r="764" spans="1:13" ht="15.15" customHeight="1" thickBot="1" x14ac:dyDescent="0.35">
      <c r="A764" s="5" t="s">
        <v>2399</v>
      </c>
      <c r="B764" s="5" t="s">
        <v>2400</v>
      </c>
      <c r="C764" s="5" t="s">
        <v>2401</v>
      </c>
      <c r="D764" s="82" t="s">
        <v>2402</v>
      </c>
      <c r="E764" s="82"/>
      <c r="F764" s="82"/>
      <c r="G764" s="82"/>
      <c r="H764" s="82"/>
      <c r="I764" s="82"/>
      <c r="J764" s="82"/>
      <c r="K764" s="23">
        <v>1</v>
      </c>
      <c r="L764" s="23">
        <f>ROUND(2.956,3)</f>
        <v>2.956</v>
      </c>
      <c r="M764" s="24">
        <f>ROUND(K764*L764,2)</f>
        <v>2.96</v>
      </c>
    </row>
    <row r="765" spans="1:13" ht="15.15" customHeight="1" thickBot="1" x14ac:dyDescent="0.35">
      <c r="A765" s="5" t="s">
        <v>2403</v>
      </c>
      <c r="B765" s="5"/>
      <c r="C765" s="5" t="s">
        <v>2404</v>
      </c>
      <c r="D765" s="82" t="s">
        <v>2405</v>
      </c>
      <c r="E765" s="82"/>
      <c r="F765" s="82"/>
      <c r="G765" s="82"/>
      <c r="H765" s="82"/>
      <c r="I765" s="82"/>
      <c r="J765" s="82"/>
      <c r="K765" s="23">
        <v>1.5</v>
      </c>
      <c r="L765" s="23">
        <f>ROUND(7.28,3)</f>
        <v>7.28</v>
      </c>
      <c r="M765" s="24">
        <f>ROUND((K765*L765)/100,2)</f>
        <v>0.11</v>
      </c>
    </row>
    <row r="766" spans="1:13" ht="15.45" customHeight="1" thickBot="1" x14ac:dyDescent="0.35">
      <c r="A766" s="37"/>
      <c r="B766" s="37"/>
      <c r="C766" s="37"/>
      <c r="D766" s="38" t="s">
        <v>2406</v>
      </c>
      <c r="E766" s="37"/>
      <c r="F766" s="37"/>
      <c r="G766" s="37"/>
      <c r="H766" s="37"/>
      <c r="I766" s="37"/>
      <c r="J766" s="37"/>
      <c r="K766" s="39">
        <v>4</v>
      </c>
      <c r="L766" s="40">
        <f>ROUND((M761+M762+M763+M764+M765)*(1+M2/100),2)</f>
        <v>25.1</v>
      </c>
      <c r="M766" s="40">
        <f>ROUND(K766*L766,2)</f>
        <v>100.4</v>
      </c>
    </row>
    <row r="767" spans="1:13" ht="15.45" customHeight="1" thickBot="1" x14ac:dyDescent="0.35">
      <c r="A767" s="58" t="s">
        <v>2407</v>
      </c>
      <c r="B767" s="59" t="s">
        <v>2408</v>
      </c>
      <c r="C767" s="59" t="s">
        <v>2409</v>
      </c>
      <c r="D767" s="85" t="s">
        <v>2410</v>
      </c>
      <c r="E767" s="85"/>
      <c r="F767" s="85"/>
      <c r="G767" s="85"/>
      <c r="H767" s="85"/>
      <c r="I767" s="85"/>
      <c r="J767" s="85"/>
      <c r="K767" s="60">
        <f>ROUND(1,2)</f>
        <v>1</v>
      </c>
      <c r="L767" s="61">
        <f>L772</f>
        <v>27.05</v>
      </c>
      <c r="M767" s="61">
        <f>ROUND(K767*L767,2)</f>
        <v>27.05</v>
      </c>
    </row>
    <row r="768" spans="1:13" ht="15.15" customHeight="1" thickBot="1" x14ac:dyDescent="0.35">
      <c r="A768" s="5" t="s">
        <v>2411</v>
      </c>
      <c r="B768" s="5" t="s">
        <v>2412</v>
      </c>
      <c r="C768" s="5" t="s">
        <v>2413</v>
      </c>
      <c r="D768" s="82" t="s">
        <v>2414</v>
      </c>
      <c r="E768" s="82"/>
      <c r="F768" s="82"/>
      <c r="G768" s="82"/>
      <c r="H768" s="82"/>
      <c r="I768" s="82"/>
      <c r="J768" s="82"/>
      <c r="K768" s="23">
        <v>0.13200000000000001</v>
      </c>
      <c r="L768" s="23">
        <f>ROUND(26,3)</f>
        <v>26</v>
      </c>
      <c r="M768" s="24">
        <f>ROUND(K768*L768,2)</f>
        <v>3.43</v>
      </c>
    </row>
    <row r="769" spans="1:13" ht="15.15" customHeight="1" thickBot="1" x14ac:dyDescent="0.35">
      <c r="A769" s="5" t="s">
        <v>2415</v>
      </c>
      <c r="B769" s="5" t="s">
        <v>2416</v>
      </c>
      <c r="C769" s="5" t="s">
        <v>2417</v>
      </c>
      <c r="D769" s="82" t="s">
        <v>2418</v>
      </c>
      <c r="E769" s="82"/>
      <c r="F769" s="82"/>
      <c r="G769" s="82"/>
      <c r="H769" s="82"/>
      <c r="I769" s="82"/>
      <c r="J769" s="82"/>
      <c r="K769" s="23">
        <v>0.13200000000000001</v>
      </c>
      <c r="L769" s="23">
        <f>ROUND(30,3)</f>
        <v>30</v>
      </c>
      <c r="M769" s="24">
        <f>ROUND(K769*L769,2)</f>
        <v>3.96</v>
      </c>
    </row>
    <row r="770" spans="1:13" ht="15.15" customHeight="1" thickBot="1" x14ac:dyDescent="0.35">
      <c r="A770" s="5" t="s">
        <v>2419</v>
      </c>
      <c r="B770" s="5" t="s">
        <v>2420</v>
      </c>
      <c r="C770" s="5" t="s">
        <v>2421</v>
      </c>
      <c r="D770" s="82" t="s">
        <v>2422</v>
      </c>
      <c r="E770" s="82"/>
      <c r="F770" s="82"/>
      <c r="G770" s="82"/>
      <c r="H770" s="82"/>
      <c r="I770" s="82"/>
      <c r="J770" s="82"/>
      <c r="K770" s="23">
        <v>1</v>
      </c>
      <c r="L770" s="23">
        <f>ROUND(18.759,3)</f>
        <v>18.759</v>
      </c>
      <c r="M770" s="24">
        <f>ROUND(K770*L770,2)</f>
        <v>18.760000000000002</v>
      </c>
    </row>
    <row r="771" spans="1:13" ht="15.15" customHeight="1" thickBot="1" x14ac:dyDescent="0.35">
      <c r="A771" s="5" t="s">
        <v>2423</v>
      </c>
      <c r="B771" s="5"/>
      <c r="C771" s="5" t="s">
        <v>2424</v>
      </c>
      <c r="D771" s="82" t="s">
        <v>2425</v>
      </c>
      <c r="E771" s="82"/>
      <c r="F771" s="82"/>
      <c r="G771" s="82"/>
      <c r="H771" s="82"/>
      <c r="I771" s="82"/>
      <c r="J771" s="82"/>
      <c r="K771" s="23">
        <v>1.5</v>
      </c>
      <c r="L771" s="23">
        <f>ROUND(7.39,3)</f>
        <v>7.39</v>
      </c>
      <c r="M771" s="24">
        <f>ROUND((K771*L771)/100,2)</f>
        <v>0.11</v>
      </c>
    </row>
    <row r="772" spans="1:13" ht="15.45" customHeight="1" thickBot="1" x14ac:dyDescent="0.35">
      <c r="A772" s="37"/>
      <c r="B772" s="37"/>
      <c r="C772" s="37"/>
      <c r="D772" s="38" t="s">
        <v>2426</v>
      </c>
      <c r="E772" s="37"/>
      <c r="F772" s="37"/>
      <c r="G772" s="37"/>
      <c r="H772" s="37"/>
      <c r="I772" s="37"/>
      <c r="J772" s="37"/>
      <c r="K772" s="39">
        <v>1</v>
      </c>
      <c r="L772" s="40">
        <f>ROUND((M768+M769+M770+M771)*(1+M2/100),2)</f>
        <v>27.05</v>
      </c>
      <c r="M772" s="40">
        <f>ROUND(K772*L772,2)</f>
        <v>27.05</v>
      </c>
    </row>
    <row r="773" spans="1:13" ht="15.45" customHeight="1" thickBot="1" x14ac:dyDescent="0.35">
      <c r="A773" s="41"/>
      <c r="B773" s="41"/>
      <c r="C773" s="41"/>
      <c r="D773" s="42" t="s">
        <v>2427</v>
      </c>
      <c r="E773" s="43"/>
      <c r="F773" s="43"/>
      <c r="G773" s="43"/>
      <c r="H773" s="43"/>
      <c r="I773" s="43"/>
      <c r="J773" s="43"/>
      <c r="K773" s="43"/>
      <c r="L773" s="44">
        <f>M746+M758+M767</f>
        <v>1671.13</v>
      </c>
      <c r="M773" s="44">
        <f>ROUND(L773,2)</f>
        <v>1671.13</v>
      </c>
    </row>
    <row r="774" spans="1:13" ht="15.45" customHeight="1" thickBot="1" x14ac:dyDescent="0.35">
      <c r="A774" s="54" t="s">
        <v>2428</v>
      </c>
      <c r="B774" s="54" t="s">
        <v>2429</v>
      </c>
      <c r="C774" s="55"/>
      <c r="D774" s="84" t="s">
        <v>2430</v>
      </c>
      <c r="E774" s="84"/>
      <c r="F774" s="84"/>
      <c r="G774" s="84"/>
      <c r="H774" s="84"/>
      <c r="I774" s="84"/>
      <c r="J774" s="84"/>
      <c r="K774" s="55"/>
      <c r="L774" s="56">
        <f>L776</f>
        <v>320.52</v>
      </c>
      <c r="M774" s="56">
        <f>ROUND(L774,2)</f>
        <v>320.52</v>
      </c>
    </row>
    <row r="775" spans="1:13" ht="15.45" customHeight="1" thickBot="1" x14ac:dyDescent="0.35">
      <c r="A775" s="10" t="s">
        <v>2431</v>
      </c>
      <c r="B775" s="5" t="s">
        <v>2432</v>
      </c>
      <c r="C775" s="5" t="s">
        <v>2433</v>
      </c>
      <c r="D775" s="82" t="s">
        <v>2434</v>
      </c>
      <c r="E775" s="82"/>
      <c r="F775" s="82"/>
      <c r="G775" s="82"/>
      <c r="H775" s="82"/>
      <c r="I775" s="82"/>
      <c r="J775" s="82"/>
      <c r="K775" s="23">
        <f>ROUND(1,2)</f>
        <v>1</v>
      </c>
      <c r="L775" s="24">
        <f>ROUND(311.185*(1+M2/100),2)</f>
        <v>320.52</v>
      </c>
      <c r="M775" s="24">
        <f>ROUND(K775*L775,2)</f>
        <v>320.52</v>
      </c>
    </row>
    <row r="776" spans="1:13" ht="15.45" customHeight="1" thickBot="1" x14ac:dyDescent="0.35">
      <c r="A776" s="37"/>
      <c r="B776" s="37"/>
      <c r="C776" s="37"/>
      <c r="D776" s="65" t="s">
        <v>2435</v>
      </c>
      <c r="E776" s="66"/>
      <c r="F776" s="66"/>
      <c r="G776" s="66"/>
      <c r="H776" s="66"/>
      <c r="I776" s="66"/>
      <c r="J776" s="66"/>
      <c r="K776" s="66"/>
      <c r="L776" s="67">
        <f>M775</f>
        <v>320.52</v>
      </c>
      <c r="M776" s="67">
        <f>ROUND(L776,2)</f>
        <v>320.52</v>
      </c>
    </row>
    <row r="777" spans="1:13" ht="15.45" customHeight="1" thickBot="1" x14ac:dyDescent="0.35">
      <c r="A777" s="41"/>
      <c r="B777" s="41"/>
      <c r="C777" s="41"/>
      <c r="D777" s="45" t="s">
        <v>2436</v>
      </c>
      <c r="E777" s="46"/>
      <c r="F777" s="46"/>
      <c r="G777" s="46"/>
      <c r="H777" s="46"/>
      <c r="I777" s="46"/>
      <c r="J777" s="46"/>
      <c r="K777" s="46"/>
      <c r="L777" s="47">
        <f>M535+M590+M635+M677+M718+M744+M773+M776</f>
        <v>14186.79</v>
      </c>
      <c r="M777" s="47">
        <f>ROUND(L777,2)</f>
        <v>14186.79</v>
      </c>
    </row>
    <row r="778" spans="1:13" ht="15.45" customHeight="1" thickBot="1" x14ac:dyDescent="0.35">
      <c r="A778" s="62" t="s">
        <v>2437</v>
      </c>
      <c r="B778" s="62" t="s">
        <v>2438</v>
      </c>
      <c r="C778" s="63"/>
      <c r="D778" s="86" t="s">
        <v>2439</v>
      </c>
      <c r="E778" s="86"/>
      <c r="F778" s="86"/>
      <c r="G778" s="86"/>
      <c r="H778" s="86"/>
      <c r="I778" s="86"/>
      <c r="J778" s="86"/>
      <c r="K778" s="63"/>
      <c r="L778" s="64">
        <f>L805</f>
        <v>344.81000000000006</v>
      </c>
      <c r="M778" s="64">
        <f>ROUND(L778,2)</f>
        <v>344.81</v>
      </c>
    </row>
    <row r="779" spans="1:13" ht="15.45" customHeight="1" thickBot="1" x14ac:dyDescent="0.35">
      <c r="A779" s="10" t="s">
        <v>2440</v>
      </c>
      <c r="B779" s="5" t="s">
        <v>2441</v>
      </c>
      <c r="C779" s="5" t="s">
        <v>2442</v>
      </c>
      <c r="D779" s="82" t="s">
        <v>2443</v>
      </c>
      <c r="E779" s="82"/>
      <c r="F779" s="82"/>
      <c r="G779" s="82"/>
      <c r="H779" s="82"/>
      <c r="I779" s="82"/>
      <c r="J779" s="82"/>
      <c r="K779" s="23">
        <f>ROUND(1,2)</f>
        <v>1</v>
      </c>
      <c r="L779" s="24">
        <f>L785</f>
        <v>183.68</v>
      </c>
      <c r="M779" s="24">
        <f>ROUND(K779*L779,2)</f>
        <v>183.68</v>
      </c>
    </row>
    <row r="780" spans="1:13" ht="24.3" customHeight="1" thickBot="1" x14ac:dyDescent="0.35">
      <c r="A780" s="5" t="s">
        <v>2444</v>
      </c>
      <c r="B780" s="5" t="s">
        <v>2445</v>
      </c>
      <c r="C780" s="5" t="s">
        <v>2446</v>
      </c>
      <c r="D780" s="82" t="s">
        <v>2447</v>
      </c>
      <c r="E780" s="82"/>
      <c r="F780" s="82"/>
      <c r="G780" s="82"/>
      <c r="H780" s="82"/>
      <c r="I780" s="82"/>
      <c r="J780" s="82"/>
      <c r="K780" s="23">
        <v>0.1</v>
      </c>
      <c r="L780" s="23">
        <f>ROUND(34.014,3)</f>
        <v>34.014000000000003</v>
      </c>
      <c r="M780" s="24">
        <f>ROUND(K780*L780,2)</f>
        <v>3.4</v>
      </c>
    </row>
    <row r="781" spans="1:13" ht="21.3" customHeight="1" thickBot="1" x14ac:dyDescent="0.35">
      <c r="A781" s="5" t="s">
        <v>2448</v>
      </c>
      <c r="B781" s="5" t="s">
        <v>2449</v>
      </c>
      <c r="C781" s="5" t="s">
        <v>2450</v>
      </c>
      <c r="D781" s="82" t="s">
        <v>2451</v>
      </c>
      <c r="E781" s="82"/>
      <c r="F781" s="82"/>
      <c r="G781" s="82"/>
      <c r="H781" s="82"/>
      <c r="I781" s="82"/>
      <c r="J781" s="82"/>
      <c r="K781" s="23">
        <v>1</v>
      </c>
      <c r="L781" s="23">
        <f>ROUND(153.528,3)</f>
        <v>153.52799999999999</v>
      </c>
      <c r="M781" s="24">
        <f>ROUND(K781*L781,2)</f>
        <v>153.53</v>
      </c>
    </row>
    <row r="782" spans="1:13" ht="15.15" customHeight="1" thickBot="1" x14ac:dyDescent="0.35">
      <c r="A782" s="5" t="s">
        <v>2452</v>
      </c>
      <c r="B782" s="5" t="s">
        <v>2453</v>
      </c>
      <c r="C782" s="5" t="s">
        <v>2454</v>
      </c>
      <c r="D782" s="82" t="s">
        <v>2455</v>
      </c>
      <c r="E782" s="82"/>
      <c r="F782" s="82"/>
      <c r="G782" s="82"/>
      <c r="H782" s="82"/>
      <c r="I782" s="82"/>
      <c r="J782" s="82"/>
      <c r="K782" s="23">
        <v>0.50700000000000001</v>
      </c>
      <c r="L782" s="23">
        <f>ROUND(30,3)</f>
        <v>30</v>
      </c>
      <c r="M782" s="24">
        <f>ROUND(K782*L782,2)</f>
        <v>15.21</v>
      </c>
    </row>
    <row r="783" spans="1:13" ht="15.15" customHeight="1" thickBot="1" x14ac:dyDescent="0.35">
      <c r="A783" s="5" t="s">
        <v>2456</v>
      </c>
      <c r="B783" s="5" t="s">
        <v>2457</v>
      </c>
      <c r="C783" s="5" t="s">
        <v>2458</v>
      </c>
      <c r="D783" s="82" t="s">
        <v>2459</v>
      </c>
      <c r="E783" s="82"/>
      <c r="F783" s="82"/>
      <c r="G783" s="82"/>
      <c r="H783" s="82"/>
      <c r="I783" s="82"/>
      <c r="J783" s="82"/>
      <c r="K783" s="23">
        <v>0.128</v>
      </c>
      <c r="L783" s="23">
        <f>ROUND(21,3)</f>
        <v>21</v>
      </c>
      <c r="M783" s="24">
        <f>ROUND(K783*L783,2)</f>
        <v>2.69</v>
      </c>
    </row>
    <row r="784" spans="1:13" ht="15.15" customHeight="1" thickBot="1" x14ac:dyDescent="0.35">
      <c r="A784" s="5" t="s">
        <v>2460</v>
      </c>
      <c r="B784" s="5"/>
      <c r="C784" s="5" t="s">
        <v>2461</v>
      </c>
      <c r="D784" s="82" t="s">
        <v>2462</v>
      </c>
      <c r="E784" s="82"/>
      <c r="F784" s="82"/>
      <c r="G784" s="82"/>
      <c r="H784" s="82"/>
      <c r="I784" s="82"/>
      <c r="J784" s="82"/>
      <c r="K784" s="23">
        <v>2</v>
      </c>
      <c r="L784" s="23">
        <f>ROUND(174.83,3)</f>
        <v>174.83</v>
      </c>
      <c r="M784" s="24">
        <f>ROUND((K784*L784)/100,2)</f>
        <v>3.5</v>
      </c>
    </row>
    <row r="785" spans="1:13" ht="15.45" customHeight="1" thickBot="1" x14ac:dyDescent="0.35">
      <c r="A785" s="37"/>
      <c r="B785" s="37"/>
      <c r="C785" s="37"/>
      <c r="D785" s="38" t="s">
        <v>2463</v>
      </c>
      <c r="E785" s="37"/>
      <c r="F785" s="37"/>
      <c r="G785" s="37"/>
      <c r="H785" s="37"/>
      <c r="I785" s="37"/>
      <c r="J785" s="37"/>
      <c r="K785" s="39">
        <v>1</v>
      </c>
      <c r="L785" s="40">
        <f>ROUND((M780+M781+M782+M783+M784)*(1+M2/100),2)</f>
        <v>183.68</v>
      </c>
      <c r="M785" s="40">
        <f t="shared" ref="M785:M790" si="31">ROUND(K785*L785,2)</f>
        <v>183.68</v>
      </c>
    </row>
    <row r="786" spans="1:13" ht="15.45" customHeight="1" thickBot="1" x14ac:dyDescent="0.35">
      <c r="A786" s="58" t="s">
        <v>2464</v>
      </c>
      <c r="B786" s="59" t="s">
        <v>2465</v>
      </c>
      <c r="C786" s="59" t="s">
        <v>2466</v>
      </c>
      <c r="D786" s="85" t="s">
        <v>2467</v>
      </c>
      <c r="E786" s="85"/>
      <c r="F786" s="85"/>
      <c r="G786" s="85"/>
      <c r="H786" s="85"/>
      <c r="I786" s="85"/>
      <c r="J786" s="85"/>
      <c r="K786" s="60">
        <f>ROUND(10,2)</f>
        <v>10</v>
      </c>
      <c r="L786" s="61">
        <f>L792</f>
        <v>5.64</v>
      </c>
      <c r="M786" s="61">
        <f t="shared" si="31"/>
        <v>56.4</v>
      </c>
    </row>
    <row r="787" spans="1:13" ht="39.75" customHeight="1" thickBot="1" x14ac:dyDescent="0.35">
      <c r="A787" s="5" t="s">
        <v>2468</v>
      </c>
      <c r="B787" s="5" t="s">
        <v>2469</v>
      </c>
      <c r="C787" s="5" t="s">
        <v>2470</v>
      </c>
      <c r="D787" s="82" t="s">
        <v>2471</v>
      </c>
      <c r="E787" s="82"/>
      <c r="F787" s="82"/>
      <c r="G787" s="82"/>
      <c r="H787" s="82"/>
      <c r="I787" s="82"/>
      <c r="J787" s="82"/>
      <c r="K787" s="23">
        <v>1</v>
      </c>
      <c r="L787" s="23">
        <f>ROUND(0.952,3)</f>
        <v>0.95199999999999996</v>
      </c>
      <c r="M787" s="24">
        <f t="shared" si="31"/>
        <v>0.95</v>
      </c>
    </row>
    <row r="788" spans="1:13" ht="24.3" customHeight="1" thickBot="1" x14ac:dyDescent="0.35">
      <c r="A788" s="5" t="s">
        <v>2472</v>
      </c>
      <c r="B788" s="5" t="s">
        <v>2473</v>
      </c>
      <c r="C788" s="5" t="s">
        <v>2474</v>
      </c>
      <c r="D788" s="82" t="s">
        <v>2475</v>
      </c>
      <c r="E788" s="82"/>
      <c r="F788" s="82"/>
      <c r="G788" s="82"/>
      <c r="H788" s="82"/>
      <c r="I788" s="82"/>
      <c r="J788" s="82"/>
      <c r="K788" s="23">
        <v>7.9000000000000001E-2</v>
      </c>
      <c r="L788" s="23">
        <f>ROUND(34.014,3)</f>
        <v>34.014000000000003</v>
      </c>
      <c r="M788" s="24">
        <f t="shared" si="31"/>
        <v>2.69</v>
      </c>
    </row>
    <row r="789" spans="1:13" ht="15.15" customHeight="1" thickBot="1" x14ac:dyDescent="0.35">
      <c r="A789" s="5" t="s">
        <v>2476</v>
      </c>
      <c r="B789" s="5" t="s">
        <v>2477</v>
      </c>
      <c r="C789" s="5" t="s">
        <v>2478</v>
      </c>
      <c r="D789" s="82" t="s">
        <v>2479</v>
      </c>
      <c r="E789" s="82"/>
      <c r="F789" s="82"/>
      <c r="G789" s="82"/>
      <c r="H789" s="82"/>
      <c r="I789" s="82"/>
      <c r="J789" s="82"/>
      <c r="K789" s="23">
        <v>3.4000000000000002E-2</v>
      </c>
      <c r="L789" s="23">
        <f>ROUND(30,3)</f>
        <v>30</v>
      </c>
      <c r="M789" s="24">
        <f t="shared" si="31"/>
        <v>1.02</v>
      </c>
    </row>
    <row r="790" spans="1:13" ht="15.15" customHeight="1" thickBot="1" x14ac:dyDescent="0.35">
      <c r="A790" s="5" t="s">
        <v>2480</v>
      </c>
      <c r="B790" s="5" t="s">
        <v>2481</v>
      </c>
      <c r="C790" s="5" t="s">
        <v>2482</v>
      </c>
      <c r="D790" s="82" t="s">
        <v>2483</v>
      </c>
      <c r="E790" s="82"/>
      <c r="F790" s="82"/>
      <c r="G790" s="82"/>
      <c r="H790" s="82"/>
      <c r="I790" s="82"/>
      <c r="J790" s="82"/>
      <c r="K790" s="23">
        <v>3.4000000000000002E-2</v>
      </c>
      <c r="L790" s="23">
        <f>ROUND(21,3)</f>
        <v>21</v>
      </c>
      <c r="M790" s="24">
        <f t="shared" si="31"/>
        <v>0.71</v>
      </c>
    </row>
    <row r="791" spans="1:13" ht="15.15" customHeight="1" thickBot="1" x14ac:dyDescent="0.35">
      <c r="A791" s="5" t="s">
        <v>2484</v>
      </c>
      <c r="B791" s="5"/>
      <c r="C791" s="5" t="s">
        <v>2485</v>
      </c>
      <c r="D791" s="82" t="s">
        <v>2486</v>
      </c>
      <c r="E791" s="82"/>
      <c r="F791" s="82"/>
      <c r="G791" s="82"/>
      <c r="H791" s="82"/>
      <c r="I791" s="82"/>
      <c r="J791" s="82"/>
      <c r="K791" s="23">
        <v>2</v>
      </c>
      <c r="L791" s="23">
        <f>ROUND(5.37,3)</f>
        <v>5.37</v>
      </c>
      <c r="M791" s="24">
        <f>ROUND((K791*L791)/100,2)</f>
        <v>0.11</v>
      </c>
    </row>
    <row r="792" spans="1:13" ht="15.45" customHeight="1" thickBot="1" x14ac:dyDescent="0.35">
      <c r="A792" s="37"/>
      <c r="B792" s="37"/>
      <c r="C792" s="37"/>
      <c r="D792" s="38" t="s">
        <v>2487</v>
      </c>
      <c r="E792" s="37"/>
      <c r="F792" s="37"/>
      <c r="G792" s="37"/>
      <c r="H792" s="37"/>
      <c r="I792" s="37"/>
      <c r="J792" s="37"/>
      <c r="K792" s="39">
        <v>10</v>
      </c>
      <c r="L792" s="40">
        <f>ROUND((M787+M788+M789+M790+M791)*(1+M2/100),2)</f>
        <v>5.64</v>
      </c>
      <c r="M792" s="40">
        <f t="shared" ref="M792:M797" si="32">ROUND(K792*L792,2)</f>
        <v>56.4</v>
      </c>
    </row>
    <row r="793" spans="1:13" ht="15.45" customHeight="1" thickBot="1" x14ac:dyDescent="0.35">
      <c r="A793" s="58" t="s">
        <v>2488</v>
      </c>
      <c r="B793" s="59" t="s">
        <v>2489</v>
      </c>
      <c r="C793" s="59" t="s">
        <v>2490</v>
      </c>
      <c r="D793" s="85" t="s">
        <v>2491</v>
      </c>
      <c r="E793" s="85"/>
      <c r="F793" s="85"/>
      <c r="G793" s="85"/>
      <c r="H793" s="85"/>
      <c r="I793" s="85"/>
      <c r="J793" s="85"/>
      <c r="K793" s="60">
        <f>ROUND(1,2)</f>
        <v>1</v>
      </c>
      <c r="L793" s="61">
        <f>L799</f>
        <v>56.95</v>
      </c>
      <c r="M793" s="61">
        <f t="shared" si="32"/>
        <v>56.95</v>
      </c>
    </row>
    <row r="794" spans="1:13" ht="24.3" customHeight="1" thickBot="1" x14ac:dyDescent="0.35">
      <c r="A794" s="5" t="s">
        <v>2492</v>
      </c>
      <c r="B794" s="5" t="s">
        <v>2493</v>
      </c>
      <c r="C794" s="5" t="s">
        <v>2494</v>
      </c>
      <c r="D794" s="82" t="s">
        <v>2495</v>
      </c>
      <c r="E794" s="82"/>
      <c r="F794" s="82"/>
      <c r="G794" s="82"/>
      <c r="H794" s="82"/>
      <c r="I794" s="82"/>
      <c r="J794" s="82"/>
      <c r="K794" s="23">
        <v>8.5000000000000006E-2</v>
      </c>
      <c r="L794" s="23">
        <f>ROUND(31.902,3)</f>
        <v>31.902000000000001</v>
      </c>
      <c r="M794" s="24">
        <f t="shared" si="32"/>
        <v>2.71</v>
      </c>
    </row>
    <row r="795" spans="1:13" ht="21.3" customHeight="1" thickBot="1" x14ac:dyDescent="0.35">
      <c r="A795" s="5" t="s">
        <v>2496</v>
      </c>
      <c r="B795" s="5" t="s">
        <v>2497</v>
      </c>
      <c r="C795" s="5" t="s">
        <v>2498</v>
      </c>
      <c r="D795" s="82" t="s">
        <v>2499</v>
      </c>
      <c r="E795" s="82"/>
      <c r="F795" s="82"/>
      <c r="G795" s="82"/>
      <c r="H795" s="82"/>
      <c r="I795" s="82"/>
      <c r="J795" s="82"/>
      <c r="K795" s="23">
        <v>1</v>
      </c>
      <c r="L795" s="23">
        <f>ROUND(34.915,3)</f>
        <v>34.914999999999999</v>
      </c>
      <c r="M795" s="24">
        <f t="shared" si="32"/>
        <v>34.92</v>
      </c>
    </row>
    <row r="796" spans="1:13" ht="15.15" customHeight="1" thickBot="1" x14ac:dyDescent="0.35">
      <c r="A796" s="5" t="s">
        <v>2500</v>
      </c>
      <c r="B796" s="5" t="s">
        <v>2501</v>
      </c>
      <c r="C796" s="5" t="s">
        <v>2502</v>
      </c>
      <c r="D796" s="82" t="s">
        <v>2503</v>
      </c>
      <c r="E796" s="82"/>
      <c r="F796" s="82"/>
      <c r="G796" s="82"/>
      <c r="H796" s="82"/>
      <c r="I796" s="82"/>
      <c r="J796" s="82"/>
      <c r="K796" s="23">
        <v>0.47899999999999998</v>
      </c>
      <c r="L796" s="23">
        <f>ROUND(30,3)</f>
        <v>30</v>
      </c>
      <c r="M796" s="24">
        <f t="shared" si="32"/>
        <v>14.37</v>
      </c>
    </row>
    <row r="797" spans="1:13" ht="15.15" customHeight="1" thickBot="1" x14ac:dyDescent="0.35">
      <c r="A797" s="5" t="s">
        <v>2504</v>
      </c>
      <c r="B797" s="5" t="s">
        <v>2505</v>
      </c>
      <c r="C797" s="5" t="s">
        <v>2506</v>
      </c>
      <c r="D797" s="82" t="s">
        <v>2507</v>
      </c>
      <c r="E797" s="82"/>
      <c r="F797" s="82"/>
      <c r="G797" s="82"/>
      <c r="H797" s="82"/>
      <c r="I797" s="82"/>
      <c r="J797" s="82"/>
      <c r="K797" s="23">
        <v>8.5000000000000006E-2</v>
      </c>
      <c r="L797" s="23">
        <f>ROUND(26,3)</f>
        <v>26</v>
      </c>
      <c r="M797" s="24">
        <f t="shared" si="32"/>
        <v>2.21</v>
      </c>
    </row>
    <row r="798" spans="1:13" ht="15.15" customHeight="1" thickBot="1" x14ac:dyDescent="0.35">
      <c r="A798" s="5" t="s">
        <v>2508</v>
      </c>
      <c r="B798" s="5"/>
      <c r="C798" s="5" t="s">
        <v>2509</v>
      </c>
      <c r="D798" s="82" t="s">
        <v>2510</v>
      </c>
      <c r="E798" s="82"/>
      <c r="F798" s="82"/>
      <c r="G798" s="82"/>
      <c r="H798" s="82"/>
      <c r="I798" s="82"/>
      <c r="J798" s="82"/>
      <c r="K798" s="23">
        <v>2</v>
      </c>
      <c r="L798" s="23">
        <f>ROUND(54.21,3)</f>
        <v>54.21</v>
      </c>
      <c r="M798" s="24">
        <f>ROUND((K798*L798)/100,2)</f>
        <v>1.08</v>
      </c>
    </row>
    <row r="799" spans="1:13" ht="15.45" customHeight="1" thickBot="1" x14ac:dyDescent="0.35">
      <c r="A799" s="37"/>
      <c r="B799" s="37"/>
      <c r="C799" s="37"/>
      <c r="D799" s="38" t="s">
        <v>2511</v>
      </c>
      <c r="E799" s="37"/>
      <c r="F799" s="37"/>
      <c r="G799" s="37"/>
      <c r="H799" s="37"/>
      <c r="I799" s="37"/>
      <c r="J799" s="37"/>
      <c r="K799" s="39">
        <v>1</v>
      </c>
      <c r="L799" s="40">
        <f>ROUND((M794+M795+M796+M797+M798)*(1+M2/100),2)</f>
        <v>56.95</v>
      </c>
      <c r="M799" s="40">
        <f>ROUND(K799*L799,2)</f>
        <v>56.95</v>
      </c>
    </row>
    <row r="800" spans="1:13" ht="15.45" customHeight="1" thickBot="1" x14ac:dyDescent="0.35">
      <c r="A800" s="58" t="s">
        <v>2512</v>
      </c>
      <c r="B800" s="59" t="s">
        <v>2513</v>
      </c>
      <c r="C800" s="59" t="s">
        <v>2514</v>
      </c>
      <c r="D800" s="85" t="s">
        <v>2515</v>
      </c>
      <c r="E800" s="85"/>
      <c r="F800" s="85"/>
      <c r="G800" s="85"/>
      <c r="H800" s="85"/>
      <c r="I800" s="85"/>
      <c r="J800" s="85"/>
      <c r="K800" s="60">
        <f>ROUND(1,2)</f>
        <v>1</v>
      </c>
      <c r="L800" s="61">
        <f>L804</f>
        <v>47.78</v>
      </c>
      <c r="M800" s="61">
        <f>ROUND(K800*L800,2)</f>
        <v>47.78</v>
      </c>
    </row>
    <row r="801" spans="1:13" ht="30.6" customHeight="1" thickBot="1" x14ac:dyDescent="0.35">
      <c r="A801" s="5" t="s">
        <v>2516</v>
      </c>
      <c r="B801" s="5" t="s">
        <v>2517</v>
      </c>
      <c r="C801" s="5" t="s">
        <v>2518</v>
      </c>
      <c r="D801" s="82" t="s">
        <v>2519</v>
      </c>
      <c r="E801" s="82"/>
      <c r="F801" s="82"/>
      <c r="G801" s="82"/>
      <c r="H801" s="82"/>
      <c r="I801" s="82"/>
      <c r="J801" s="82"/>
      <c r="K801" s="23">
        <v>1</v>
      </c>
      <c r="L801" s="23">
        <f>ROUND(39.194,3)</f>
        <v>39.194000000000003</v>
      </c>
      <c r="M801" s="24">
        <f>ROUND(K801*L801,2)</f>
        <v>39.19</v>
      </c>
    </row>
    <row r="802" spans="1:13" ht="15.15" customHeight="1" thickBot="1" x14ac:dyDescent="0.35">
      <c r="A802" s="5" t="s">
        <v>2520</v>
      </c>
      <c r="B802" s="5" t="s">
        <v>2521</v>
      </c>
      <c r="C802" s="5" t="s">
        <v>2522</v>
      </c>
      <c r="D802" s="82" t="s">
        <v>2523</v>
      </c>
      <c r="E802" s="82"/>
      <c r="F802" s="82"/>
      <c r="G802" s="82"/>
      <c r="H802" s="82"/>
      <c r="I802" s="82"/>
      <c r="J802" s="82"/>
      <c r="K802" s="23">
        <v>0.24199999999999999</v>
      </c>
      <c r="L802" s="23">
        <f>ROUND(26,3)</f>
        <v>26</v>
      </c>
      <c r="M802" s="24">
        <f>ROUND(K802*L802,2)</f>
        <v>6.29</v>
      </c>
    </row>
    <row r="803" spans="1:13" ht="15.15" customHeight="1" thickBot="1" x14ac:dyDescent="0.35">
      <c r="A803" s="5" t="s">
        <v>2524</v>
      </c>
      <c r="B803" s="5"/>
      <c r="C803" s="5" t="s">
        <v>2525</v>
      </c>
      <c r="D803" s="82" t="s">
        <v>2526</v>
      </c>
      <c r="E803" s="82"/>
      <c r="F803" s="82"/>
      <c r="G803" s="82"/>
      <c r="H803" s="82"/>
      <c r="I803" s="82"/>
      <c r="J803" s="82"/>
      <c r="K803" s="23">
        <v>2</v>
      </c>
      <c r="L803" s="23">
        <f>ROUND(45.48,3)</f>
        <v>45.48</v>
      </c>
      <c r="M803" s="24">
        <f>ROUND((K803*L803)/100,2)</f>
        <v>0.91</v>
      </c>
    </row>
    <row r="804" spans="1:13" ht="15.45" customHeight="1" thickBot="1" x14ac:dyDescent="0.35">
      <c r="A804" s="37"/>
      <c r="B804" s="37"/>
      <c r="C804" s="37"/>
      <c r="D804" s="38" t="s">
        <v>2527</v>
      </c>
      <c r="E804" s="37"/>
      <c r="F804" s="37"/>
      <c r="G804" s="37"/>
      <c r="H804" s="37"/>
      <c r="I804" s="37"/>
      <c r="J804" s="37"/>
      <c r="K804" s="39">
        <v>1</v>
      </c>
      <c r="L804" s="40">
        <f>ROUND((M801+M802+M803)*(1+M2/100),2)</f>
        <v>47.78</v>
      </c>
      <c r="M804" s="40">
        <f>ROUND(K804*L804,2)</f>
        <v>47.78</v>
      </c>
    </row>
    <row r="805" spans="1:13" ht="15.45" customHeight="1" thickBot="1" x14ac:dyDescent="0.35">
      <c r="A805" s="41"/>
      <c r="B805" s="41"/>
      <c r="C805" s="41"/>
      <c r="D805" s="45" t="s">
        <v>2528</v>
      </c>
      <c r="E805" s="46"/>
      <c r="F805" s="46"/>
      <c r="G805" s="46"/>
      <c r="H805" s="46"/>
      <c r="I805" s="46"/>
      <c r="J805" s="46"/>
      <c r="K805" s="46"/>
      <c r="L805" s="47">
        <f>M779+M786+M793+M800</f>
        <v>344.81000000000006</v>
      </c>
      <c r="M805" s="47">
        <f>ROUND(L805,2)</f>
        <v>344.81</v>
      </c>
    </row>
    <row r="806" spans="1:13" ht="15.45" customHeight="1" thickBot="1" x14ac:dyDescent="0.35">
      <c r="A806" s="62" t="s">
        <v>2529</v>
      </c>
      <c r="B806" s="62" t="s">
        <v>2530</v>
      </c>
      <c r="C806" s="63"/>
      <c r="D806" s="86" t="s">
        <v>2531</v>
      </c>
      <c r="E806" s="86"/>
      <c r="F806" s="86"/>
      <c r="G806" s="86"/>
      <c r="H806" s="86"/>
      <c r="I806" s="86"/>
      <c r="J806" s="86"/>
      <c r="K806" s="63"/>
      <c r="L806" s="64">
        <f>L850</f>
        <v>1239.9399999999998</v>
      </c>
      <c r="M806" s="64">
        <f>ROUND(L806,2)</f>
        <v>1239.94</v>
      </c>
    </row>
    <row r="807" spans="1:13" ht="15.45" customHeight="1" thickBot="1" x14ac:dyDescent="0.35">
      <c r="A807" s="10" t="s">
        <v>2532</v>
      </c>
      <c r="B807" s="5" t="s">
        <v>2533</v>
      </c>
      <c r="C807" s="5" t="s">
        <v>2534</v>
      </c>
      <c r="D807" s="82" t="s">
        <v>2535</v>
      </c>
      <c r="E807" s="82"/>
      <c r="F807" s="82"/>
      <c r="G807" s="82"/>
      <c r="H807" s="82"/>
      <c r="I807" s="82"/>
      <c r="J807" s="82"/>
      <c r="K807" s="23">
        <f>ROUND(1,2)</f>
        <v>1</v>
      </c>
      <c r="L807" s="24">
        <f>ROUND(933.555*(1+M2/100),2)</f>
        <v>961.56</v>
      </c>
      <c r="M807" s="24">
        <f>ROUND(K807*L807,2)</f>
        <v>961.56</v>
      </c>
    </row>
    <row r="808" spans="1:13" ht="15.45" customHeight="1" thickBot="1" x14ac:dyDescent="0.35">
      <c r="A808" s="10" t="s">
        <v>2536</v>
      </c>
      <c r="B808" s="5" t="s">
        <v>2537</v>
      </c>
      <c r="C808" s="5" t="s">
        <v>2538</v>
      </c>
      <c r="D808" s="82" t="s">
        <v>2539</v>
      </c>
      <c r="E808" s="82"/>
      <c r="F808" s="82"/>
      <c r="G808" s="82"/>
      <c r="H808" s="82"/>
      <c r="I808" s="82"/>
      <c r="J808" s="82"/>
      <c r="K808" s="23">
        <f>ROUND(1,2)</f>
        <v>1</v>
      </c>
      <c r="L808" s="24">
        <f>L813</f>
        <v>86.7</v>
      </c>
      <c r="M808" s="24">
        <f>ROUND(K808*L808,2)</f>
        <v>86.7</v>
      </c>
    </row>
    <row r="809" spans="1:13" ht="15.15" customHeight="1" thickBot="1" x14ac:dyDescent="0.35">
      <c r="A809" s="5" t="s">
        <v>2540</v>
      </c>
      <c r="B809" s="5" t="s">
        <v>2541</v>
      </c>
      <c r="C809" s="5" t="s">
        <v>2542</v>
      </c>
      <c r="D809" s="82" t="s">
        <v>2543</v>
      </c>
      <c r="E809" s="82"/>
      <c r="F809" s="82"/>
      <c r="G809" s="82"/>
      <c r="H809" s="82"/>
      <c r="I809" s="82"/>
      <c r="J809" s="82"/>
      <c r="K809" s="23">
        <v>0.26100000000000001</v>
      </c>
      <c r="L809" s="23">
        <f>ROUND(26,3)</f>
        <v>26</v>
      </c>
      <c r="M809" s="24">
        <f>ROUND(K809*L809,2)</f>
        <v>6.79</v>
      </c>
    </row>
    <row r="810" spans="1:13" ht="15.15" customHeight="1" thickBot="1" x14ac:dyDescent="0.35">
      <c r="A810" s="5" t="s">
        <v>2544</v>
      </c>
      <c r="B810" s="5" t="s">
        <v>2545</v>
      </c>
      <c r="C810" s="5" t="s">
        <v>2546</v>
      </c>
      <c r="D810" s="82" t="s">
        <v>2547</v>
      </c>
      <c r="E810" s="82"/>
      <c r="F810" s="82"/>
      <c r="G810" s="82"/>
      <c r="H810" s="82"/>
      <c r="I810" s="82"/>
      <c r="J810" s="82"/>
      <c r="K810" s="23">
        <v>0.26100000000000001</v>
      </c>
      <c r="L810" s="23">
        <f>ROUND(30,3)</f>
        <v>30</v>
      </c>
      <c r="M810" s="24">
        <f>ROUND(K810*L810,2)</f>
        <v>7.83</v>
      </c>
    </row>
    <row r="811" spans="1:13" ht="15.15" customHeight="1" thickBot="1" x14ac:dyDescent="0.35">
      <c r="A811" s="5" t="s">
        <v>2548</v>
      </c>
      <c r="B811" s="5" t="s">
        <v>2549</v>
      </c>
      <c r="C811" s="5" t="s">
        <v>2550</v>
      </c>
      <c r="D811" s="82" t="s">
        <v>2551</v>
      </c>
      <c r="E811" s="82"/>
      <c r="F811" s="82"/>
      <c r="G811" s="82"/>
      <c r="H811" s="82"/>
      <c r="I811" s="82"/>
      <c r="J811" s="82"/>
      <c r="K811" s="23">
        <v>1</v>
      </c>
      <c r="L811" s="23">
        <f>ROUND(69.332,3)</f>
        <v>69.331999999999994</v>
      </c>
      <c r="M811" s="24">
        <f>ROUND(K811*L811,2)</f>
        <v>69.33</v>
      </c>
    </row>
    <row r="812" spans="1:13" ht="15.15" customHeight="1" thickBot="1" x14ac:dyDescent="0.35">
      <c r="A812" s="5" t="s">
        <v>2552</v>
      </c>
      <c r="B812" s="5"/>
      <c r="C812" s="5" t="s">
        <v>2553</v>
      </c>
      <c r="D812" s="82" t="s">
        <v>2554</v>
      </c>
      <c r="E812" s="82"/>
      <c r="F812" s="82"/>
      <c r="G812" s="82"/>
      <c r="H812" s="82"/>
      <c r="I812" s="82"/>
      <c r="J812" s="82"/>
      <c r="K812" s="23">
        <v>1.5</v>
      </c>
      <c r="L812" s="23">
        <f>ROUND(14.62,3)</f>
        <v>14.62</v>
      </c>
      <c r="M812" s="24">
        <f>ROUND((K812*L812)/100,2)</f>
        <v>0.22</v>
      </c>
    </row>
    <row r="813" spans="1:13" ht="15.45" customHeight="1" thickBot="1" x14ac:dyDescent="0.35">
      <c r="A813" s="37"/>
      <c r="B813" s="37"/>
      <c r="C813" s="37"/>
      <c r="D813" s="38" t="s">
        <v>2555</v>
      </c>
      <c r="E813" s="37"/>
      <c r="F813" s="37"/>
      <c r="G813" s="37"/>
      <c r="H813" s="37"/>
      <c r="I813" s="37"/>
      <c r="J813" s="37"/>
      <c r="K813" s="39">
        <v>1</v>
      </c>
      <c r="L813" s="40">
        <f>ROUND((M809+M810+M811+M812)*(1+M2/100),2)</f>
        <v>86.7</v>
      </c>
      <c r="M813" s="40">
        <f t="shared" ref="M813:M822" si="33">ROUND(K813*L813,2)</f>
        <v>86.7</v>
      </c>
    </row>
    <row r="814" spans="1:13" ht="15.45" customHeight="1" thickBot="1" x14ac:dyDescent="0.35">
      <c r="A814" s="58" t="s">
        <v>2556</v>
      </c>
      <c r="B814" s="59" t="s">
        <v>2557</v>
      </c>
      <c r="C814" s="59" t="s">
        <v>2558</v>
      </c>
      <c r="D814" s="85" t="s">
        <v>2559</v>
      </c>
      <c r="E814" s="85"/>
      <c r="F814" s="85"/>
      <c r="G814" s="85"/>
      <c r="H814" s="85"/>
      <c r="I814" s="85"/>
      <c r="J814" s="85"/>
      <c r="K814" s="60">
        <f>ROUND(1,2)</f>
        <v>1</v>
      </c>
      <c r="L814" s="61">
        <f>L824</f>
        <v>119.28</v>
      </c>
      <c r="M814" s="61">
        <f t="shared" si="33"/>
        <v>119.28</v>
      </c>
    </row>
    <row r="815" spans="1:13" ht="15.15" customHeight="1" thickBot="1" x14ac:dyDescent="0.35">
      <c r="A815" s="5" t="s">
        <v>2560</v>
      </c>
      <c r="B815" s="5" t="s">
        <v>2561</v>
      </c>
      <c r="C815" s="5" t="s">
        <v>2562</v>
      </c>
      <c r="D815" s="82" t="s">
        <v>2563</v>
      </c>
      <c r="E815" s="82"/>
      <c r="F815" s="82"/>
      <c r="G815" s="82"/>
      <c r="H815" s="82"/>
      <c r="I815" s="82"/>
      <c r="J815" s="82"/>
      <c r="K815" s="23">
        <v>2</v>
      </c>
      <c r="L815" s="23">
        <f>ROUND(3.21,3)</f>
        <v>3.21</v>
      </c>
      <c r="M815" s="24">
        <f t="shared" si="33"/>
        <v>6.42</v>
      </c>
    </row>
    <row r="816" spans="1:13" ht="21.3" customHeight="1" thickBot="1" x14ac:dyDescent="0.35">
      <c r="A816" s="5" t="s">
        <v>2564</v>
      </c>
      <c r="B816" s="5" t="s">
        <v>2565</v>
      </c>
      <c r="C816" s="5" t="s">
        <v>2566</v>
      </c>
      <c r="D816" s="82" t="s">
        <v>2567</v>
      </c>
      <c r="E816" s="82"/>
      <c r="F816" s="82"/>
      <c r="G816" s="82"/>
      <c r="H816" s="82"/>
      <c r="I816" s="82"/>
      <c r="J816" s="82"/>
      <c r="K816" s="23">
        <v>1</v>
      </c>
      <c r="L816" s="23">
        <f>ROUND(2.749,3)</f>
        <v>2.7490000000000001</v>
      </c>
      <c r="M816" s="24">
        <f t="shared" si="33"/>
        <v>2.75</v>
      </c>
    </row>
    <row r="817" spans="1:13" ht="15.15" customHeight="1" thickBot="1" x14ac:dyDescent="0.35">
      <c r="A817" s="5" t="s">
        <v>2568</v>
      </c>
      <c r="B817" s="5" t="s">
        <v>2569</v>
      </c>
      <c r="C817" s="5" t="s">
        <v>2570</v>
      </c>
      <c r="D817" s="82" t="s">
        <v>2571</v>
      </c>
      <c r="E817" s="82"/>
      <c r="F817" s="82"/>
      <c r="G817" s="82"/>
      <c r="H817" s="82"/>
      <c r="I817" s="82"/>
      <c r="J817" s="82"/>
      <c r="K817" s="23">
        <v>1</v>
      </c>
      <c r="L817" s="23">
        <f>ROUND(2.754,3)</f>
        <v>2.754</v>
      </c>
      <c r="M817" s="24">
        <f t="shared" si="33"/>
        <v>2.75</v>
      </c>
    </row>
    <row r="818" spans="1:13" ht="15.15" customHeight="1" thickBot="1" x14ac:dyDescent="0.35">
      <c r="A818" s="5" t="s">
        <v>2572</v>
      </c>
      <c r="B818" s="5" t="s">
        <v>2573</v>
      </c>
      <c r="C818" s="5" t="s">
        <v>2574</v>
      </c>
      <c r="D818" s="82" t="s">
        <v>2575</v>
      </c>
      <c r="E818" s="82"/>
      <c r="F818" s="82"/>
      <c r="G818" s="82"/>
      <c r="H818" s="82"/>
      <c r="I818" s="82"/>
      <c r="J818" s="82"/>
      <c r="K818" s="23">
        <v>1</v>
      </c>
      <c r="L818" s="23">
        <f>ROUND(1.577,3)</f>
        <v>1.577</v>
      </c>
      <c r="M818" s="24">
        <f t="shared" si="33"/>
        <v>1.58</v>
      </c>
    </row>
    <row r="819" spans="1:13" ht="15.15" customHeight="1" thickBot="1" x14ac:dyDescent="0.35">
      <c r="A819" s="5" t="s">
        <v>2576</v>
      </c>
      <c r="B819" s="5" t="s">
        <v>2577</v>
      </c>
      <c r="C819" s="5" t="s">
        <v>2578</v>
      </c>
      <c r="D819" s="82" t="s">
        <v>2579</v>
      </c>
      <c r="E819" s="82"/>
      <c r="F819" s="82"/>
      <c r="G819" s="82"/>
      <c r="H819" s="82"/>
      <c r="I819" s="82"/>
      <c r="J819" s="82"/>
      <c r="K819" s="23">
        <v>1</v>
      </c>
      <c r="L819" s="23">
        <f>ROUND(77.796,3)</f>
        <v>77.796000000000006</v>
      </c>
      <c r="M819" s="24">
        <f t="shared" si="33"/>
        <v>77.8</v>
      </c>
    </row>
    <row r="820" spans="1:13" ht="15.15" customHeight="1" thickBot="1" x14ac:dyDescent="0.35">
      <c r="A820" s="5" t="s">
        <v>2580</v>
      </c>
      <c r="B820" s="5" t="s">
        <v>2581</v>
      </c>
      <c r="C820" s="5" t="s">
        <v>2582</v>
      </c>
      <c r="D820" s="82" t="s">
        <v>2583</v>
      </c>
      <c r="E820" s="82"/>
      <c r="F820" s="82"/>
      <c r="G820" s="82"/>
      <c r="H820" s="82"/>
      <c r="I820" s="82"/>
      <c r="J820" s="82"/>
      <c r="K820" s="23">
        <v>1</v>
      </c>
      <c r="L820" s="23">
        <f>ROUND(0.773,3)</f>
        <v>0.77300000000000002</v>
      </c>
      <c r="M820" s="24">
        <f t="shared" si="33"/>
        <v>0.77</v>
      </c>
    </row>
    <row r="821" spans="1:13" ht="15.15" customHeight="1" thickBot="1" x14ac:dyDescent="0.35">
      <c r="A821" s="5" t="s">
        <v>2584</v>
      </c>
      <c r="B821" s="5" t="s">
        <v>2585</v>
      </c>
      <c r="C821" s="5" t="s">
        <v>2586</v>
      </c>
      <c r="D821" s="82" t="s">
        <v>2587</v>
      </c>
      <c r="E821" s="82"/>
      <c r="F821" s="82"/>
      <c r="G821" s="82"/>
      <c r="H821" s="82"/>
      <c r="I821" s="82"/>
      <c r="J821" s="82"/>
      <c r="K821" s="23">
        <v>0.44800000000000001</v>
      </c>
      <c r="L821" s="23">
        <f>ROUND(30,3)</f>
        <v>30</v>
      </c>
      <c r="M821" s="24">
        <f t="shared" si="33"/>
        <v>13.44</v>
      </c>
    </row>
    <row r="822" spans="1:13" ht="15.15" customHeight="1" thickBot="1" x14ac:dyDescent="0.35">
      <c r="A822" s="5" t="s">
        <v>2588</v>
      </c>
      <c r="B822" s="5" t="s">
        <v>2589</v>
      </c>
      <c r="C822" s="5" t="s">
        <v>2590</v>
      </c>
      <c r="D822" s="82" t="s">
        <v>2591</v>
      </c>
      <c r="E822" s="82"/>
      <c r="F822" s="82"/>
      <c r="G822" s="82"/>
      <c r="H822" s="82"/>
      <c r="I822" s="82"/>
      <c r="J822" s="82"/>
      <c r="K822" s="23">
        <v>0.22500000000000001</v>
      </c>
      <c r="L822" s="23">
        <f>ROUND(26,3)</f>
        <v>26</v>
      </c>
      <c r="M822" s="24">
        <f t="shared" si="33"/>
        <v>5.85</v>
      </c>
    </row>
    <row r="823" spans="1:13" ht="15.15" customHeight="1" thickBot="1" x14ac:dyDescent="0.35">
      <c r="A823" s="5" t="s">
        <v>2592</v>
      </c>
      <c r="B823" s="5"/>
      <c r="C823" s="5" t="s">
        <v>2593</v>
      </c>
      <c r="D823" s="82" t="s">
        <v>2594</v>
      </c>
      <c r="E823" s="82"/>
      <c r="F823" s="82"/>
      <c r="G823" s="82"/>
      <c r="H823" s="82"/>
      <c r="I823" s="82"/>
      <c r="J823" s="82"/>
      <c r="K823" s="23">
        <v>4</v>
      </c>
      <c r="L823" s="23">
        <f>ROUND(111.36,3)</f>
        <v>111.36</v>
      </c>
      <c r="M823" s="24">
        <f>ROUND((K823*L823)/100,2)</f>
        <v>4.45</v>
      </c>
    </row>
    <row r="824" spans="1:13" ht="15.45" customHeight="1" thickBot="1" x14ac:dyDescent="0.35">
      <c r="A824" s="37"/>
      <c r="B824" s="37"/>
      <c r="C824" s="37"/>
      <c r="D824" s="38" t="s">
        <v>2595</v>
      </c>
      <c r="E824" s="37"/>
      <c r="F824" s="37"/>
      <c r="G824" s="37"/>
      <c r="H824" s="37"/>
      <c r="I824" s="37"/>
      <c r="J824" s="37"/>
      <c r="K824" s="39">
        <v>1</v>
      </c>
      <c r="L824" s="40">
        <f>ROUND((M815+M816+M817+M818+M819+M820+M821+M822+M823)*(1+M2/100),2)</f>
        <v>119.28</v>
      </c>
      <c r="M824" s="40">
        <f>ROUND(K824*L824,2)</f>
        <v>119.28</v>
      </c>
    </row>
    <row r="825" spans="1:13" ht="15.45" customHeight="1" thickBot="1" x14ac:dyDescent="0.35">
      <c r="A825" s="58" t="s">
        <v>2596</v>
      </c>
      <c r="B825" s="59" t="s">
        <v>2597</v>
      </c>
      <c r="C825" s="59" t="s">
        <v>2598</v>
      </c>
      <c r="D825" s="85" t="s">
        <v>2599</v>
      </c>
      <c r="E825" s="85"/>
      <c r="F825" s="85"/>
      <c r="G825" s="85"/>
      <c r="H825" s="85"/>
      <c r="I825" s="85"/>
      <c r="J825" s="85"/>
      <c r="K825" s="60">
        <f>SUM(K827:K827)</f>
        <v>10</v>
      </c>
      <c r="L825" s="61">
        <f>L835</f>
        <v>4.26</v>
      </c>
      <c r="M825" s="61">
        <f>ROUND(K825*L825,2)</f>
        <v>42.6</v>
      </c>
    </row>
    <row r="826" spans="1:13" ht="15.15" customHeight="1" thickBot="1" x14ac:dyDescent="0.35">
      <c r="A826" s="25"/>
      <c r="B826" s="25"/>
      <c r="C826" s="25"/>
      <c r="D826" s="25"/>
      <c r="E826" s="26"/>
      <c r="F826" s="28" t="s">
        <v>2600</v>
      </c>
      <c r="G826" s="28" t="s">
        <v>2601</v>
      </c>
      <c r="H826" s="28" t="s">
        <v>2602</v>
      </c>
      <c r="I826" s="28" t="s">
        <v>2603</v>
      </c>
      <c r="J826" s="28" t="s">
        <v>2604</v>
      </c>
      <c r="K826" s="28" t="s">
        <v>2605</v>
      </c>
      <c r="L826" s="25"/>
      <c r="M826" s="25"/>
    </row>
    <row r="827" spans="1:13" ht="15.15" customHeight="1" thickBot="1" x14ac:dyDescent="0.35">
      <c r="A827" s="25"/>
      <c r="B827" s="25"/>
      <c r="C827" s="25"/>
      <c r="D827" s="29"/>
      <c r="E827" s="30"/>
      <c r="F827" s="31">
        <v>1</v>
      </c>
      <c r="G827" s="32">
        <v>10</v>
      </c>
      <c r="H827" s="32"/>
      <c r="I827" s="32"/>
      <c r="J827" s="34">
        <f>ROUND(F827*G827,3)</f>
        <v>10</v>
      </c>
      <c r="K827" s="36">
        <f>SUM(J827:J827)</f>
        <v>10</v>
      </c>
      <c r="L827" s="25"/>
      <c r="M827" s="25"/>
    </row>
    <row r="828" spans="1:13" ht="15.15" customHeight="1" thickBot="1" x14ac:dyDescent="0.35">
      <c r="A828" s="5" t="s">
        <v>2606</v>
      </c>
      <c r="B828" s="5" t="s">
        <v>2607</v>
      </c>
      <c r="C828" s="5" t="s">
        <v>2608</v>
      </c>
      <c r="D828" s="82" t="s">
        <v>2609</v>
      </c>
      <c r="E828" s="82"/>
      <c r="F828" s="82"/>
      <c r="G828" s="82"/>
      <c r="H828" s="82"/>
      <c r="I828" s="82"/>
      <c r="J828" s="82"/>
      <c r="K828" s="23">
        <v>9.1999999999999998E-2</v>
      </c>
      <c r="L828" s="23">
        <f>ROUND(6.416,3)</f>
        <v>6.4160000000000004</v>
      </c>
      <c r="M828" s="24">
        <f t="shared" ref="M828:M833" si="34">ROUND(K828*L828,2)</f>
        <v>0.59</v>
      </c>
    </row>
    <row r="829" spans="1:13" ht="30.6" customHeight="1" thickBot="1" x14ac:dyDescent="0.35">
      <c r="A829" s="5" t="s">
        <v>2610</v>
      </c>
      <c r="B829" s="5" t="s">
        <v>2611</v>
      </c>
      <c r="C829" s="5" t="s">
        <v>2612</v>
      </c>
      <c r="D829" s="82" t="s">
        <v>2613</v>
      </c>
      <c r="E829" s="82"/>
      <c r="F829" s="82"/>
      <c r="G829" s="82"/>
      <c r="H829" s="82"/>
      <c r="I829" s="82"/>
      <c r="J829" s="82"/>
      <c r="K829" s="23">
        <v>1</v>
      </c>
      <c r="L829" s="23">
        <f>ROUND(1.105,3)</f>
        <v>1.105</v>
      </c>
      <c r="M829" s="24">
        <f t="shared" si="34"/>
        <v>1.1100000000000001</v>
      </c>
    </row>
    <row r="830" spans="1:13" ht="15.15" customHeight="1" thickBot="1" x14ac:dyDescent="0.35">
      <c r="A830" s="5" t="s">
        <v>2614</v>
      </c>
      <c r="B830" s="5" t="s">
        <v>2615</v>
      </c>
      <c r="C830" s="5" t="s">
        <v>2616</v>
      </c>
      <c r="D830" s="82" t="s">
        <v>2617</v>
      </c>
      <c r="E830" s="82"/>
      <c r="F830" s="82"/>
      <c r="G830" s="82"/>
      <c r="H830" s="82"/>
      <c r="I830" s="82"/>
      <c r="J830" s="82"/>
      <c r="K830" s="23">
        <v>0.01</v>
      </c>
      <c r="L830" s="23">
        <f>ROUND(30,3)</f>
        <v>30</v>
      </c>
      <c r="M830" s="24">
        <f t="shared" si="34"/>
        <v>0.3</v>
      </c>
    </row>
    <row r="831" spans="1:13" ht="15.15" customHeight="1" thickBot="1" x14ac:dyDescent="0.35">
      <c r="A831" s="5" t="s">
        <v>2618</v>
      </c>
      <c r="B831" s="5" t="s">
        <v>2619</v>
      </c>
      <c r="C831" s="5" t="s">
        <v>2620</v>
      </c>
      <c r="D831" s="82" t="s">
        <v>2621</v>
      </c>
      <c r="E831" s="82"/>
      <c r="F831" s="82"/>
      <c r="G831" s="82"/>
      <c r="H831" s="82"/>
      <c r="I831" s="82"/>
      <c r="J831" s="82"/>
      <c r="K831" s="23">
        <v>0.01</v>
      </c>
      <c r="L831" s="23">
        <f>ROUND(21,3)</f>
        <v>21</v>
      </c>
      <c r="M831" s="24">
        <f t="shared" si="34"/>
        <v>0.21</v>
      </c>
    </row>
    <row r="832" spans="1:13" ht="15.15" customHeight="1" thickBot="1" x14ac:dyDescent="0.35">
      <c r="A832" s="5" t="s">
        <v>2622</v>
      </c>
      <c r="B832" s="5" t="s">
        <v>2623</v>
      </c>
      <c r="C832" s="5" t="s">
        <v>2624</v>
      </c>
      <c r="D832" s="82" t="s">
        <v>2625</v>
      </c>
      <c r="E832" s="82"/>
      <c r="F832" s="82"/>
      <c r="G832" s="82"/>
      <c r="H832" s="82"/>
      <c r="I832" s="82"/>
      <c r="J832" s="82"/>
      <c r="K832" s="23">
        <v>3.3000000000000002E-2</v>
      </c>
      <c r="L832" s="23">
        <f>ROUND(30,3)</f>
        <v>30</v>
      </c>
      <c r="M832" s="24">
        <f t="shared" si="34"/>
        <v>0.99</v>
      </c>
    </row>
    <row r="833" spans="1:13" ht="15.15" customHeight="1" thickBot="1" x14ac:dyDescent="0.35">
      <c r="A833" s="5" t="s">
        <v>2626</v>
      </c>
      <c r="B833" s="5" t="s">
        <v>2627</v>
      </c>
      <c r="C833" s="5" t="s">
        <v>2628</v>
      </c>
      <c r="D833" s="82" t="s">
        <v>2629</v>
      </c>
      <c r="E833" s="82"/>
      <c r="F833" s="82"/>
      <c r="G833" s="82"/>
      <c r="H833" s="82"/>
      <c r="I833" s="82"/>
      <c r="J833" s="82"/>
      <c r="K833" s="23">
        <v>3.3000000000000002E-2</v>
      </c>
      <c r="L833" s="23">
        <f>ROUND(26,3)</f>
        <v>26</v>
      </c>
      <c r="M833" s="24">
        <f t="shared" si="34"/>
        <v>0.86</v>
      </c>
    </row>
    <row r="834" spans="1:13" ht="15.15" customHeight="1" thickBot="1" x14ac:dyDescent="0.35">
      <c r="A834" s="5" t="s">
        <v>2630</v>
      </c>
      <c r="B834" s="5"/>
      <c r="C834" s="5" t="s">
        <v>2631</v>
      </c>
      <c r="D834" s="82" t="s">
        <v>2632</v>
      </c>
      <c r="E834" s="82"/>
      <c r="F834" s="82"/>
      <c r="G834" s="82"/>
      <c r="H834" s="82"/>
      <c r="I834" s="82"/>
      <c r="J834" s="82"/>
      <c r="K834" s="23">
        <v>2</v>
      </c>
      <c r="L834" s="23">
        <f>ROUND(4.06,3)</f>
        <v>4.0599999999999996</v>
      </c>
      <c r="M834" s="24">
        <f>ROUND((K834*L834)/100,2)</f>
        <v>0.08</v>
      </c>
    </row>
    <row r="835" spans="1:13" ht="15.45" customHeight="1" thickBot="1" x14ac:dyDescent="0.35">
      <c r="A835" s="37"/>
      <c r="B835" s="37"/>
      <c r="C835" s="37"/>
      <c r="D835" s="38" t="s">
        <v>2633</v>
      </c>
      <c r="E835" s="37"/>
      <c r="F835" s="37"/>
      <c r="G835" s="37"/>
      <c r="H835" s="37"/>
      <c r="I835" s="37"/>
      <c r="J835" s="37"/>
      <c r="K835" s="39">
        <v>10</v>
      </c>
      <c r="L835" s="40">
        <f>ROUND((M828+M829+M830+M831+M832+M833+M834)*(1+M2/100),2)</f>
        <v>4.26</v>
      </c>
      <c r="M835" s="40">
        <f t="shared" ref="M835:M840" si="35">ROUND(K835*L835,2)</f>
        <v>42.6</v>
      </c>
    </row>
    <row r="836" spans="1:13" ht="15.45" customHeight="1" thickBot="1" x14ac:dyDescent="0.35">
      <c r="A836" s="58" t="s">
        <v>2634</v>
      </c>
      <c r="B836" s="59" t="s">
        <v>2635</v>
      </c>
      <c r="C836" s="59" t="s">
        <v>2636</v>
      </c>
      <c r="D836" s="85" t="s">
        <v>2637</v>
      </c>
      <c r="E836" s="85"/>
      <c r="F836" s="85"/>
      <c r="G836" s="85"/>
      <c r="H836" s="85"/>
      <c r="I836" s="85"/>
      <c r="J836" s="85"/>
      <c r="K836" s="60">
        <f>ROUND(1,2)</f>
        <v>1</v>
      </c>
      <c r="L836" s="61">
        <f>L842</f>
        <v>18.82</v>
      </c>
      <c r="M836" s="61">
        <f t="shared" si="35"/>
        <v>18.82</v>
      </c>
    </row>
    <row r="837" spans="1:13" ht="39.75" customHeight="1" thickBot="1" x14ac:dyDescent="0.35">
      <c r="A837" s="5" t="s">
        <v>2638</v>
      </c>
      <c r="B837" s="5" t="s">
        <v>2639</v>
      </c>
      <c r="C837" s="5" t="s">
        <v>2640</v>
      </c>
      <c r="D837" s="82" t="s">
        <v>2641</v>
      </c>
      <c r="E837" s="82"/>
      <c r="F837" s="82"/>
      <c r="G837" s="82"/>
      <c r="H837" s="82"/>
      <c r="I837" s="82"/>
      <c r="J837" s="82"/>
      <c r="K837" s="23">
        <v>1</v>
      </c>
      <c r="L837" s="23">
        <f>ROUND(11.483,3)</f>
        <v>11.483000000000001</v>
      </c>
      <c r="M837" s="24">
        <f t="shared" si="35"/>
        <v>11.48</v>
      </c>
    </row>
    <row r="838" spans="1:13" ht="15.15" customHeight="1" thickBot="1" x14ac:dyDescent="0.35">
      <c r="A838" s="5" t="s">
        <v>2642</v>
      </c>
      <c r="B838" s="5" t="s">
        <v>2643</v>
      </c>
      <c r="C838" s="5" t="s">
        <v>2644</v>
      </c>
      <c r="D838" s="82" t="s">
        <v>2645</v>
      </c>
      <c r="E838" s="82"/>
      <c r="F838" s="82"/>
      <c r="G838" s="82"/>
      <c r="H838" s="82"/>
      <c r="I838" s="82"/>
      <c r="J838" s="82"/>
      <c r="K838" s="23">
        <v>1</v>
      </c>
      <c r="L838" s="23">
        <f>ROUND(0.773,3)</f>
        <v>0.77300000000000002</v>
      </c>
      <c r="M838" s="24">
        <f t="shared" si="35"/>
        <v>0.77</v>
      </c>
    </row>
    <row r="839" spans="1:13" ht="15.15" customHeight="1" thickBot="1" x14ac:dyDescent="0.35">
      <c r="A839" s="5" t="s">
        <v>2646</v>
      </c>
      <c r="B839" s="5" t="s">
        <v>2647</v>
      </c>
      <c r="C839" s="5" t="s">
        <v>2648</v>
      </c>
      <c r="D839" s="82" t="s">
        <v>2649</v>
      </c>
      <c r="E839" s="82"/>
      <c r="F839" s="82"/>
      <c r="G839" s="82"/>
      <c r="H839" s="82"/>
      <c r="I839" s="82"/>
      <c r="J839" s="82"/>
      <c r="K839" s="23">
        <v>0.10100000000000001</v>
      </c>
      <c r="L839" s="23">
        <f>ROUND(30,3)</f>
        <v>30</v>
      </c>
      <c r="M839" s="24">
        <f t="shared" si="35"/>
        <v>3.03</v>
      </c>
    </row>
    <row r="840" spans="1:13" ht="15.15" customHeight="1" thickBot="1" x14ac:dyDescent="0.35">
      <c r="A840" s="5" t="s">
        <v>2650</v>
      </c>
      <c r="B840" s="5" t="s">
        <v>2651</v>
      </c>
      <c r="C840" s="5" t="s">
        <v>2652</v>
      </c>
      <c r="D840" s="82" t="s">
        <v>2653</v>
      </c>
      <c r="E840" s="82"/>
      <c r="F840" s="82"/>
      <c r="G840" s="82"/>
      <c r="H840" s="82"/>
      <c r="I840" s="82"/>
      <c r="J840" s="82"/>
      <c r="K840" s="23">
        <v>0.10100000000000001</v>
      </c>
      <c r="L840" s="23">
        <f>ROUND(26,3)</f>
        <v>26</v>
      </c>
      <c r="M840" s="24">
        <f t="shared" si="35"/>
        <v>2.63</v>
      </c>
    </row>
    <row r="841" spans="1:13" ht="15.15" customHeight="1" thickBot="1" x14ac:dyDescent="0.35">
      <c r="A841" s="5" t="s">
        <v>2654</v>
      </c>
      <c r="B841" s="5"/>
      <c r="C841" s="5" t="s">
        <v>2655</v>
      </c>
      <c r="D841" s="82" t="s">
        <v>2656</v>
      </c>
      <c r="E841" s="82"/>
      <c r="F841" s="82"/>
      <c r="G841" s="82"/>
      <c r="H841" s="82"/>
      <c r="I841" s="82"/>
      <c r="J841" s="82"/>
      <c r="K841" s="23">
        <v>2</v>
      </c>
      <c r="L841" s="23">
        <f>ROUND(17.91,3)</f>
        <v>17.91</v>
      </c>
      <c r="M841" s="24">
        <f>ROUND((K841*L841)/100,2)</f>
        <v>0.36</v>
      </c>
    </row>
    <row r="842" spans="1:13" ht="15.45" customHeight="1" thickBot="1" x14ac:dyDescent="0.35">
      <c r="A842" s="37"/>
      <c r="B842" s="37"/>
      <c r="C842" s="37"/>
      <c r="D842" s="38" t="s">
        <v>2657</v>
      </c>
      <c r="E842" s="37"/>
      <c r="F842" s="37"/>
      <c r="G842" s="37"/>
      <c r="H842" s="37"/>
      <c r="I842" s="37"/>
      <c r="J842" s="37"/>
      <c r="K842" s="39">
        <v>1</v>
      </c>
      <c r="L842" s="40">
        <f>ROUND((M837+M838+M839+M840+M841)*(1+M2/100),2)</f>
        <v>18.82</v>
      </c>
      <c r="M842" s="40">
        <f t="shared" ref="M842:M847" si="36">ROUND(K842*L842,2)</f>
        <v>18.82</v>
      </c>
    </row>
    <row r="843" spans="1:13" ht="15.45" customHeight="1" thickBot="1" x14ac:dyDescent="0.35">
      <c r="A843" s="58" t="s">
        <v>2658</v>
      </c>
      <c r="B843" s="59" t="s">
        <v>2659</v>
      </c>
      <c r="C843" s="59" t="s">
        <v>2660</v>
      </c>
      <c r="D843" s="85" t="s">
        <v>2661</v>
      </c>
      <c r="E843" s="85"/>
      <c r="F843" s="85"/>
      <c r="G843" s="85"/>
      <c r="H843" s="85"/>
      <c r="I843" s="85"/>
      <c r="J843" s="85"/>
      <c r="K843" s="60">
        <f>ROUND(1,2)</f>
        <v>1</v>
      </c>
      <c r="L843" s="61">
        <f>L849</f>
        <v>10.98</v>
      </c>
      <c r="M843" s="61">
        <f t="shared" si="36"/>
        <v>10.98</v>
      </c>
    </row>
    <row r="844" spans="1:13" ht="15.15" customHeight="1" thickBot="1" x14ac:dyDescent="0.35">
      <c r="A844" s="5" t="s">
        <v>2662</v>
      </c>
      <c r="B844" s="5" t="s">
        <v>2663</v>
      </c>
      <c r="C844" s="5" t="s">
        <v>2664</v>
      </c>
      <c r="D844" s="82" t="s">
        <v>2665</v>
      </c>
      <c r="E844" s="82"/>
      <c r="F844" s="82"/>
      <c r="G844" s="82"/>
      <c r="H844" s="82"/>
      <c r="I844" s="82"/>
      <c r="J844" s="82"/>
      <c r="K844" s="23">
        <v>1</v>
      </c>
      <c r="L844" s="23">
        <f>ROUND(6.535,3)</f>
        <v>6.5350000000000001</v>
      </c>
      <c r="M844" s="24">
        <f t="shared" si="36"/>
        <v>6.54</v>
      </c>
    </row>
    <row r="845" spans="1:13" ht="15.15" customHeight="1" thickBot="1" x14ac:dyDescent="0.35">
      <c r="A845" s="5" t="s">
        <v>2666</v>
      </c>
      <c r="B845" s="5" t="s">
        <v>2667</v>
      </c>
      <c r="C845" s="5" t="s">
        <v>2668</v>
      </c>
      <c r="D845" s="82" t="s">
        <v>2669</v>
      </c>
      <c r="E845" s="82"/>
      <c r="F845" s="82"/>
      <c r="G845" s="82"/>
      <c r="H845" s="82"/>
      <c r="I845" s="82"/>
      <c r="J845" s="82"/>
      <c r="K845" s="23">
        <v>1</v>
      </c>
      <c r="L845" s="23">
        <f>ROUND(0.773,3)</f>
        <v>0.77300000000000002</v>
      </c>
      <c r="M845" s="24">
        <f t="shared" si="36"/>
        <v>0.77</v>
      </c>
    </row>
    <row r="846" spans="1:13" ht="15.15" customHeight="1" thickBot="1" x14ac:dyDescent="0.35">
      <c r="A846" s="5" t="s">
        <v>2670</v>
      </c>
      <c r="B846" s="5" t="s">
        <v>2671</v>
      </c>
      <c r="C846" s="5" t="s">
        <v>2672</v>
      </c>
      <c r="D846" s="82" t="s">
        <v>2673</v>
      </c>
      <c r="E846" s="82"/>
      <c r="F846" s="82"/>
      <c r="G846" s="82"/>
      <c r="H846" s="82"/>
      <c r="I846" s="82"/>
      <c r="J846" s="82"/>
      <c r="K846" s="23">
        <v>5.6000000000000001E-2</v>
      </c>
      <c r="L846" s="23">
        <f>ROUND(30,3)</f>
        <v>30</v>
      </c>
      <c r="M846" s="24">
        <f t="shared" si="36"/>
        <v>1.68</v>
      </c>
    </row>
    <row r="847" spans="1:13" ht="15.15" customHeight="1" thickBot="1" x14ac:dyDescent="0.35">
      <c r="A847" s="5" t="s">
        <v>2674</v>
      </c>
      <c r="B847" s="5" t="s">
        <v>2675</v>
      </c>
      <c r="C847" s="5" t="s">
        <v>2676</v>
      </c>
      <c r="D847" s="82" t="s">
        <v>2677</v>
      </c>
      <c r="E847" s="82"/>
      <c r="F847" s="82"/>
      <c r="G847" s="82"/>
      <c r="H847" s="82"/>
      <c r="I847" s="82"/>
      <c r="J847" s="82"/>
      <c r="K847" s="23">
        <v>5.6000000000000001E-2</v>
      </c>
      <c r="L847" s="23">
        <f>ROUND(26,3)</f>
        <v>26</v>
      </c>
      <c r="M847" s="24">
        <f t="shared" si="36"/>
        <v>1.46</v>
      </c>
    </row>
    <row r="848" spans="1:13" ht="15.15" customHeight="1" thickBot="1" x14ac:dyDescent="0.35">
      <c r="A848" s="5" t="s">
        <v>2678</v>
      </c>
      <c r="B848" s="5"/>
      <c r="C848" s="5" t="s">
        <v>2679</v>
      </c>
      <c r="D848" s="82" t="s">
        <v>2680</v>
      </c>
      <c r="E848" s="82"/>
      <c r="F848" s="82"/>
      <c r="G848" s="82"/>
      <c r="H848" s="82"/>
      <c r="I848" s="82"/>
      <c r="J848" s="82"/>
      <c r="K848" s="23">
        <v>2</v>
      </c>
      <c r="L848" s="23">
        <f>ROUND(10.45,3)</f>
        <v>10.45</v>
      </c>
      <c r="M848" s="24">
        <f>ROUND((K848*L848)/100,2)</f>
        <v>0.21</v>
      </c>
    </row>
    <row r="849" spans="1:13" ht="15.45" customHeight="1" thickBot="1" x14ac:dyDescent="0.35">
      <c r="A849" s="37"/>
      <c r="B849" s="37"/>
      <c r="C849" s="37"/>
      <c r="D849" s="38" t="s">
        <v>2681</v>
      </c>
      <c r="E849" s="37"/>
      <c r="F849" s="37"/>
      <c r="G849" s="37"/>
      <c r="H849" s="37"/>
      <c r="I849" s="37"/>
      <c r="J849" s="37"/>
      <c r="K849" s="39">
        <v>1</v>
      </c>
      <c r="L849" s="40">
        <f>ROUND((M844+M845+M846+M847+M848)*(1+M2/100),2)</f>
        <v>10.98</v>
      </c>
      <c r="M849" s="40">
        <f>ROUND(K849*L849,2)</f>
        <v>10.98</v>
      </c>
    </row>
    <row r="850" spans="1:13" ht="15.45" customHeight="1" thickBot="1" x14ac:dyDescent="0.35">
      <c r="A850" s="41"/>
      <c r="B850" s="41"/>
      <c r="C850" s="41"/>
      <c r="D850" s="45" t="s">
        <v>2682</v>
      </c>
      <c r="E850" s="46"/>
      <c r="F850" s="46"/>
      <c r="G850" s="46"/>
      <c r="H850" s="46"/>
      <c r="I850" s="46"/>
      <c r="J850" s="46"/>
      <c r="K850" s="46"/>
      <c r="L850" s="47">
        <f>M807+M808+M814+M825+M836+M843</f>
        <v>1239.9399999999998</v>
      </c>
      <c r="M850" s="47">
        <f>ROUND(L850,2)</f>
        <v>1239.94</v>
      </c>
    </row>
    <row r="851" spans="1:13" ht="15.45" customHeight="1" thickBot="1" x14ac:dyDescent="0.35">
      <c r="A851" s="62" t="s">
        <v>2683</v>
      </c>
      <c r="B851" s="62" t="s">
        <v>2684</v>
      </c>
      <c r="C851" s="63"/>
      <c r="D851" s="86" t="s">
        <v>2685</v>
      </c>
      <c r="E851" s="86"/>
      <c r="F851" s="86"/>
      <c r="G851" s="86"/>
      <c r="H851" s="86"/>
      <c r="I851" s="86"/>
      <c r="J851" s="86"/>
      <c r="K851" s="63"/>
      <c r="L851" s="64">
        <f>L974</f>
        <v>6446.9299999999994</v>
      </c>
      <c r="M851" s="64">
        <f>ROUND(L851,2)</f>
        <v>6446.93</v>
      </c>
    </row>
    <row r="852" spans="1:13" ht="15.45" customHeight="1" thickBot="1" x14ac:dyDescent="0.35">
      <c r="A852" s="10" t="s">
        <v>2686</v>
      </c>
      <c r="B852" s="5" t="s">
        <v>2687</v>
      </c>
      <c r="C852" s="5" t="s">
        <v>2688</v>
      </c>
      <c r="D852" s="82" t="s">
        <v>2689</v>
      </c>
      <c r="E852" s="82"/>
      <c r="F852" s="82"/>
      <c r="G852" s="82"/>
      <c r="H852" s="82"/>
      <c r="I852" s="82"/>
      <c r="J852" s="82"/>
      <c r="K852" s="23">
        <f>SUM(K854:K854)</f>
        <v>34</v>
      </c>
      <c r="L852" s="24">
        <f>L862</f>
        <v>7.6</v>
      </c>
      <c r="M852" s="24">
        <f>ROUND(K852*L852,2)</f>
        <v>258.39999999999998</v>
      </c>
    </row>
    <row r="853" spans="1:13" ht="15.15" customHeight="1" thickBot="1" x14ac:dyDescent="0.35">
      <c r="A853" s="25"/>
      <c r="B853" s="25"/>
      <c r="C853" s="25"/>
      <c r="D853" s="25"/>
      <c r="E853" s="26"/>
      <c r="F853" s="28" t="s">
        <v>2690</v>
      </c>
      <c r="G853" s="28" t="s">
        <v>2691</v>
      </c>
      <c r="H853" s="28" t="s">
        <v>2692</v>
      </c>
      <c r="I853" s="28" t="s">
        <v>2693</v>
      </c>
      <c r="J853" s="28" t="s">
        <v>2694</v>
      </c>
      <c r="K853" s="28" t="s">
        <v>2695</v>
      </c>
      <c r="L853" s="25"/>
      <c r="M853" s="25"/>
    </row>
    <row r="854" spans="1:13" ht="15.15" customHeight="1" thickBot="1" x14ac:dyDescent="0.35">
      <c r="A854" s="25"/>
      <c r="B854" s="25"/>
      <c r="C854" s="25"/>
      <c r="D854" s="29"/>
      <c r="E854" s="30"/>
      <c r="F854" s="31">
        <v>4</v>
      </c>
      <c r="G854" s="32">
        <v>8.5</v>
      </c>
      <c r="H854" s="32"/>
      <c r="I854" s="32"/>
      <c r="J854" s="34">
        <f>ROUND(F854*G854,3)</f>
        <v>34</v>
      </c>
      <c r="K854" s="36">
        <f>SUM(J854:J854)</f>
        <v>34</v>
      </c>
      <c r="L854" s="25"/>
      <c r="M854" s="25"/>
    </row>
    <row r="855" spans="1:13" ht="15.15" customHeight="1" thickBot="1" x14ac:dyDescent="0.35">
      <c r="A855" s="5" t="s">
        <v>2696</v>
      </c>
      <c r="B855" s="5" t="s">
        <v>2697</v>
      </c>
      <c r="C855" s="5" t="s">
        <v>2698</v>
      </c>
      <c r="D855" s="82" t="s">
        <v>2699</v>
      </c>
      <c r="E855" s="82"/>
      <c r="F855" s="82"/>
      <c r="G855" s="82"/>
      <c r="H855" s="82"/>
      <c r="I855" s="82"/>
      <c r="J855" s="82"/>
      <c r="K855" s="23">
        <v>1</v>
      </c>
      <c r="L855" s="23">
        <f>ROUND(0.268,3)</f>
        <v>0.26800000000000002</v>
      </c>
      <c r="M855" s="24">
        <f t="shared" ref="M855:M860" si="37">ROUND(K855*L855,2)</f>
        <v>0.27</v>
      </c>
    </row>
    <row r="856" spans="1:13" ht="21.3" customHeight="1" thickBot="1" x14ac:dyDescent="0.35">
      <c r="A856" s="5" t="s">
        <v>2700</v>
      </c>
      <c r="B856" s="5" t="s">
        <v>2701</v>
      </c>
      <c r="C856" s="5" t="s">
        <v>2702</v>
      </c>
      <c r="D856" s="82" t="s">
        <v>2703</v>
      </c>
      <c r="E856" s="82"/>
      <c r="F856" s="82"/>
      <c r="G856" s="82"/>
      <c r="H856" s="82"/>
      <c r="I856" s="82"/>
      <c r="J856" s="82"/>
      <c r="K856" s="23">
        <v>1</v>
      </c>
      <c r="L856" s="23">
        <f>ROUND(3.774,3)</f>
        <v>3.774</v>
      </c>
      <c r="M856" s="24">
        <f t="shared" si="37"/>
        <v>3.77</v>
      </c>
    </row>
    <row r="857" spans="1:13" ht="15.15" customHeight="1" thickBot="1" x14ac:dyDescent="0.35">
      <c r="A857" s="5" t="s">
        <v>2704</v>
      </c>
      <c r="B857" s="5" t="s">
        <v>2705</v>
      </c>
      <c r="C857" s="5" t="s">
        <v>2706</v>
      </c>
      <c r="D857" s="82" t="s">
        <v>2707</v>
      </c>
      <c r="E857" s="82"/>
      <c r="F857" s="82"/>
      <c r="G857" s="82"/>
      <c r="H857" s="82"/>
      <c r="I857" s="82"/>
      <c r="J857" s="82"/>
      <c r="K857" s="23">
        <v>2.3E-2</v>
      </c>
      <c r="L857" s="23">
        <f>ROUND(8.988,3)</f>
        <v>8.9879999999999995</v>
      </c>
      <c r="M857" s="24">
        <f t="shared" si="37"/>
        <v>0.21</v>
      </c>
    </row>
    <row r="858" spans="1:13" ht="15.15" customHeight="1" thickBot="1" x14ac:dyDescent="0.35">
      <c r="A858" s="5" t="s">
        <v>2708</v>
      </c>
      <c r="B858" s="5" t="s">
        <v>2709</v>
      </c>
      <c r="C858" s="5" t="s">
        <v>2710</v>
      </c>
      <c r="D858" s="82" t="s">
        <v>2711</v>
      </c>
      <c r="E858" s="82"/>
      <c r="F858" s="82"/>
      <c r="G858" s="82"/>
      <c r="H858" s="82"/>
      <c r="I858" s="82"/>
      <c r="J858" s="82"/>
      <c r="K858" s="23">
        <v>1.2E-2</v>
      </c>
      <c r="L858" s="23">
        <f>ROUND(12.453,3)</f>
        <v>12.452999999999999</v>
      </c>
      <c r="M858" s="24">
        <f t="shared" si="37"/>
        <v>0.15</v>
      </c>
    </row>
    <row r="859" spans="1:13" ht="15.15" customHeight="1" thickBot="1" x14ac:dyDescent="0.35">
      <c r="A859" s="5" t="s">
        <v>2712</v>
      </c>
      <c r="B859" s="5" t="s">
        <v>2713</v>
      </c>
      <c r="C859" s="5" t="s">
        <v>2714</v>
      </c>
      <c r="D859" s="82" t="s">
        <v>2715</v>
      </c>
      <c r="E859" s="82"/>
      <c r="F859" s="82"/>
      <c r="G859" s="82"/>
      <c r="H859" s="82"/>
      <c r="I859" s="82"/>
      <c r="J859" s="82"/>
      <c r="K859" s="23">
        <v>6.6000000000000003E-2</v>
      </c>
      <c r="L859" s="23">
        <f>ROUND(30,3)</f>
        <v>30</v>
      </c>
      <c r="M859" s="24">
        <f t="shared" si="37"/>
        <v>1.98</v>
      </c>
    </row>
    <row r="860" spans="1:13" ht="15.15" customHeight="1" thickBot="1" x14ac:dyDescent="0.35">
      <c r="A860" s="5" t="s">
        <v>2716</v>
      </c>
      <c r="B860" s="5" t="s">
        <v>2717</v>
      </c>
      <c r="C860" s="5" t="s">
        <v>2718</v>
      </c>
      <c r="D860" s="82" t="s">
        <v>2719</v>
      </c>
      <c r="E860" s="82"/>
      <c r="F860" s="82"/>
      <c r="G860" s="82"/>
      <c r="H860" s="82"/>
      <c r="I860" s="82"/>
      <c r="J860" s="82"/>
      <c r="K860" s="23">
        <v>3.3000000000000002E-2</v>
      </c>
      <c r="L860" s="23">
        <f>ROUND(26,3)</f>
        <v>26</v>
      </c>
      <c r="M860" s="24">
        <f t="shared" si="37"/>
        <v>0.86</v>
      </c>
    </row>
    <row r="861" spans="1:13" ht="15.15" customHeight="1" thickBot="1" x14ac:dyDescent="0.35">
      <c r="A861" s="5" t="s">
        <v>2720</v>
      </c>
      <c r="B861" s="5"/>
      <c r="C861" s="5" t="s">
        <v>2721</v>
      </c>
      <c r="D861" s="82" t="s">
        <v>2722</v>
      </c>
      <c r="E861" s="82"/>
      <c r="F861" s="82"/>
      <c r="G861" s="82"/>
      <c r="H861" s="82"/>
      <c r="I861" s="82"/>
      <c r="J861" s="82"/>
      <c r="K861" s="23">
        <v>2</v>
      </c>
      <c r="L861" s="23">
        <f>ROUND(7.24,3)</f>
        <v>7.24</v>
      </c>
      <c r="M861" s="24">
        <f>ROUND((K861*L861)/100,2)</f>
        <v>0.14000000000000001</v>
      </c>
    </row>
    <row r="862" spans="1:13" ht="15.45" customHeight="1" thickBot="1" x14ac:dyDescent="0.35">
      <c r="A862" s="37"/>
      <c r="B862" s="37"/>
      <c r="C862" s="37"/>
      <c r="D862" s="38" t="s">
        <v>2723</v>
      </c>
      <c r="E862" s="37"/>
      <c r="F862" s="37"/>
      <c r="G862" s="37"/>
      <c r="H862" s="37"/>
      <c r="I862" s="37"/>
      <c r="J862" s="37"/>
      <c r="K862" s="39">
        <v>34</v>
      </c>
      <c r="L862" s="40">
        <f>ROUND((M855+M856+M857+M858+M859+M860+M861)*(1+M2/100),2)</f>
        <v>7.6</v>
      </c>
      <c r="M862" s="40">
        <f>ROUND(K862*L862,2)</f>
        <v>258.39999999999998</v>
      </c>
    </row>
    <row r="863" spans="1:13" ht="15.45" customHeight="1" thickBot="1" x14ac:dyDescent="0.35">
      <c r="A863" s="58" t="s">
        <v>2724</v>
      </c>
      <c r="B863" s="59" t="s">
        <v>2725</v>
      </c>
      <c r="C863" s="59" t="s">
        <v>2726</v>
      </c>
      <c r="D863" s="85" t="s">
        <v>2727</v>
      </c>
      <c r="E863" s="85"/>
      <c r="F863" s="85"/>
      <c r="G863" s="85"/>
      <c r="H863" s="85"/>
      <c r="I863" s="85"/>
      <c r="J863" s="85"/>
      <c r="K863" s="60">
        <f>SUM(K865:K874)</f>
        <v>52</v>
      </c>
      <c r="L863" s="61">
        <f>L887</f>
        <v>12.15</v>
      </c>
      <c r="M863" s="61">
        <f>ROUND(K863*L863,2)</f>
        <v>631.79999999999995</v>
      </c>
    </row>
    <row r="864" spans="1:13" ht="15.15" customHeight="1" thickBot="1" x14ac:dyDescent="0.35">
      <c r="A864" s="25"/>
      <c r="B864" s="25"/>
      <c r="C864" s="25"/>
      <c r="D864" s="25"/>
      <c r="E864" s="26"/>
      <c r="F864" s="28" t="s">
        <v>2728</v>
      </c>
      <c r="G864" s="28" t="s">
        <v>2729</v>
      </c>
      <c r="H864" s="28" t="s">
        <v>2730</v>
      </c>
      <c r="I864" s="28" t="s">
        <v>2731</v>
      </c>
      <c r="J864" s="28" t="s">
        <v>2732</v>
      </c>
      <c r="K864" s="28" t="s">
        <v>2733</v>
      </c>
      <c r="L864" s="25"/>
      <c r="M864" s="25"/>
    </row>
    <row r="865" spans="1:13" ht="15.15" customHeight="1" thickBot="1" x14ac:dyDescent="0.35">
      <c r="A865" s="25"/>
      <c r="B865" s="25"/>
      <c r="C865" s="25"/>
      <c r="D865" s="29"/>
      <c r="E865" s="30"/>
      <c r="F865" s="31">
        <v>1</v>
      </c>
      <c r="G865" s="32">
        <v>6</v>
      </c>
      <c r="H865" s="32"/>
      <c r="I865" s="32"/>
      <c r="J865" s="34">
        <f t="shared" ref="J865:J874" si="38">ROUND(F865*G865,3)</f>
        <v>6</v>
      </c>
      <c r="K865" s="57"/>
      <c r="L865" s="25"/>
      <c r="M865" s="25"/>
    </row>
    <row r="866" spans="1:13" ht="15.15" customHeight="1" thickBot="1" x14ac:dyDescent="0.35">
      <c r="A866" s="25"/>
      <c r="B866" s="25"/>
      <c r="C866" s="25"/>
      <c r="D866" s="29"/>
      <c r="E866" s="5"/>
      <c r="F866" s="3">
        <v>1</v>
      </c>
      <c r="G866" s="23">
        <v>8</v>
      </c>
      <c r="H866" s="23"/>
      <c r="I866" s="23"/>
      <c r="J866" s="33">
        <f t="shared" si="38"/>
        <v>8</v>
      </c>
      <c r="K866" s="25"/>
      <c r="L866" s="25"/>
      <c r="M866" s="25"/>
    </row>
    <row r="867" spans="1:13" ht="15.15" customHeight="1" thickBot="1" x14ac:dyDescent="0.35">
      <c r="A867" s="25"/>
      <c r="B867" s="25"/>
      <c r="C867" s="25"/>
      <c r="D867" s="29"/>
      <c r="E867" s="5"/>
      <c r="F867" s="3">
        <v>1</v>
      </c>
      <c r="G867" s="23">
        <v>7</v>
      </c>
      <c r="H867" s="23"/>
      <c r="I867" s="23"/>
      <c r="J867" s="33">
        <f t="shared" si="38"/>
        <v>7</v>
      </c>
      <c r="K867" s="25"/>
      <c r="L867" s="25"/>
      <c r="M867" s="25"/>
    </row>
    <row r="868" spans="1:13" ht="15.15" customHeight="1" thickBot="1" x14ac:dyDescent="0.35">
      <c r="A868" s="25"/>
      <c r="B868" s="25"/>
      <c r="C868" s="25"/>
      <c r="D868" s="29"/>
      <c r="E868" s="5"/>
      <c r="F868" s="3">
        <v>1</v>
      </c>
      <c r="G868" s="23">
        <v>5</v>
      </c>
      <c r="H868" s="23"/>
      <c r="I868" s="23"/>
      <c r="J868" s="33">
        <f t="shared" si="38"/>
        <v>5</v>
      </c>
      <c r="K868" s="25"/>
      <c r="L868" s="25"/>
      <c r="M868" s="25"/>
    </row>
    <row r="869" spans="1:13" ht="15.15" customHeight="1" thickBot="1" x14ac:dyDescent="0.35">
      <c r="A869" s="25"/>
      <c r="B869" s="25"/>
      <c r="C869" s="25"/>
      <c r="D869" s="29"/>
      <c r="E869" s="5"/>
      <c r="F869" s="3">
        <v>1</v>
      </c>
      <c r="G869" s="23">
        <v>8</v>
      </c>
      <c r="H869" s="23"/>
      <c r="I869" s="23"/>
      <c r="J869" s="33">
        <f t="shared" si="38"/>
        <v>8</v>
      </c>
      <c r="K869" s="25"/>
      <c r="L869" s="25"/>
      <c r="M869" s="25"/>
    </row>
    <row r="870" spans="1:13" ht="15.15" customHeight="1" thickBot="1" x14ac:dyDescent="0.35">
      <c r="A870" s="25"/>
      <c r="B870" s="25"/>
      <c r="C870" s="25"/>
      <c r="D870" s="29"/>
      <c r="E870" s="5"/>
      <c r="F870" s="3">
        <v>1</v>
      </c>
      <c r="G870" s="23">
        <v>2</v>
      </c>
      <c r="H870" s="23"/>
      <c r="I870" s="23"/>
      <c r="J870" s="33">
        <f t="shared" si="38"/>
        <v>2</v>
      </c>
      <c r="K870" s="25"/>
      <c r="L870" s="25"/>
      <c r="M870" s="25"/>
    </row>
    <row r="871" spans="1:13" ht="15.15" customHeight="1" thickBot="1" x14ac:dyDescent="0.35">
      <c r="A871" s="25"/>
      <c r="B871" s="25"/>
      <c r="C871" s="25"/>
      <c r="D871" s="29"/>
      <c r="E871" s="5"/>
      <c r="F871" s="3">
        <v>1</v>
      </c>
      <c r="G871" s="23">
        <v>2</v>
      </c>
      <c r="H871" s="23"/>
      <c r="I871" s="23"/>
      <c r="J871" s="33">
        <f t="shared" si="38"/>
        <v>2</v>
      </c>
      <c r="K871" s="25"/>
      <c r="L871" s="25"/>
      <c r="M871" s="25"/>
    </row>
    <row r="872" spans="1:13" ht="15.15" customHeight="1" thickBot="1" x14ac:dyDescent="0.35">
      <c r="A872" s="25"/>
      <c r="B872" s="25"/>
      <c r="C872" s="25"/>
      <c r="D872" s="29"/>
      <c r="E872" s="5"/>
      <c r="F872" s="3">
        <v>1</v>
      </c>
      <c r="G872" s="23">
        <v>2</v>
      </c>
      <c r="H872" s="23"/>
      <c r="I872" s="23"/>
      <c r="J872" s="33">
        <f t="shared" si="38"/>
        <v>2</v>
      </c>
      <c r="K872" s="25"/>
      <c r="L872" s="25"/>
      <c r="M872" s="25"/>
    </row>
    <row r="873" spans="1:13" ht="15.15" customHeight="1" thickBot="1" x14ac:dyDescent="0.35">
      <c r="A873" s="25"/>
      <c r="B873" s="25"/>
      <c r="C873" s="25"/>
      <c r="D873" s="29"/>
      <c r="E873" s="5"/>
      <c r="F873" s="3">
        <v>1</v>
      </c>
      <c r="G873" s="23">
        <v>2</v>
      </c>
      <c r="H873" s="23"/>
      <c r="I873" s="23"/>
      <c r="J873" s="33">
        <f t="shared" si="38"/>
        <v>2</v>
      </c>
      <c r="K873" s="25"/>
      <c r="L873" s="25"/>
      <c r="M873" s="25"/>
    </row>
    <row r="874" spans="1:13" ht="15.15" customHeight="1" thickBot="1" x14ac:dyDescent="0.35">
      <c r="A874" s="25"/>
      <c r="B874" s="25"/>
      <c r="C874" s="25"/>
      <c r="D874" s="29"/>
      <c r="E874" s="5"/>
      <c r="F874" s="3">
        <v>1</v>
      </c>
      <c r="G874" s="23">
        <v>10</v>
      </c>
      <c r="H874" s="23"/>
      <c r="I874" s="23"/>
      <c r="J874" s="33">
        <f t="shared" si="38"/>
        <v>10</v>
      </c>
      <c r="K874" s="35">
        <f>SUM(J865:J874)</f>
        <v>52</v>
      </c>
      <c r="L874" s="25"/>
      <c r="M874" s="25"/>
    </row>
    <row r="875" spans="1:13" ht="15.15" customHeight="1" thickBot="1" x14ac:dyDescent="0.35">
      <c r="A875" s="5" t="s">
        <v>2734</v>
      </c>
      <c r="B875" s="5" t="s">
        <v>2735</v>
      </c>
      <c r="C875" s="5" t="s">
        <v>2736</v>
      </c>
      <c r="D875" s="82" t="s">
        <v>2737</v>
      </c>
      <c r="E875" s="82"/>
      <c r="F875" s="82"/>
      <c r="G875" s="82"/>
      <c r="H875" s="82"/>
      <c r="I875" s="82"/>
      <c r="J875" s="82"/>
      <c r="K875" s="23">
        <v>0.313</v>
      </c>
      <c r="L875" s="23">
        <f>ROUND(6.416,3)</f>
        <v>6.4160000000000004</v>
      </c>
      <c r="M875" s="24">
        <f t="shared" ref="M875:M885" si="39">ROUND(K875*L875,2)</f>
        <v>2.0099999999999998</v>
      </c>
    </row>
    <row r="876" spans="1:13" ht="21.3" customHeight="1" thickBot="1" x14ac:dyDescent="0.35">
      <c r="A876" s="5" t="s">
        <v>2738</v>
      </c>
      <c r="B876" s="5" t="s">
        <v>2739</v>
      </c>
      <c r="C876" s="5" t="s">
        <v>2740</v>
      </c>
      <c r="D876" s="82" t="s">
        <v>2741</v>
      </c>
      <c r="E876" s="82"/>
      <c r="F876" s="82"/>
      <c r="G876" s="82"/>
      <c r="H876" s="82"/>
      <c r="I876" s="82"/>
      <c r="J876" s="82"/>
      <c r="K876" s="23">
        <v>1.05</v>
      </c>
      <c r="L876" s="23">
        <f>ROUND(2.916,3)</f>
        <v>2.9159999999999999</v>
      </c>
      <c r="M876" s="24">
        <f t="shared" si="39"/>
        <v>3.06</v>
      </c>
    </row>
    <row r="877" spans="1:13" ht="15.15" customHeight="1" thickBot="1" x14ac:dyDescent="0.35">
      <c r="A877" s="5" t="s">
        <v>2742</v>
      </c>
      <c r="B877" s="5" t="s">
        <v>2743</v>
      </c>
      <c r="C877" s="5" t="s">
        <v>2744</v>
      </c>
      <c r="D877" s="82" t="s">
        <v>2745</v>
      </c>
      <c r="E877" s="82"/>
      <c r="F877" s="82"/>
      <c r="G877" s="82"/>
      <c r="H877" s="82"/>
      <c r="I877" s="82"/>
      <c r="J877" s="82"/>
      <c r="K877" s="23">
        <v>2E-3</v>
      </c>
      <c r="L877" s="23">
        <f>ROUND(12.204,3)</f>
        <v>12.204000000000001</v>
      </c>
      <c r="M877" s="24">
        <f t="shared" si="39"/>
        <v>0.02</v>
      </c>
    </row>
    <row r="878" spans="1:13" ht="21.3" customHeight="1" thickBot="1" x14ac:dyDescent="0.35">
      <c r="A878" s="5" t="s">
        <v>2746</v>
      </c>
      <c r="B878" s="5" t="s">
        <v>2747</v>
      </c>
      <c r="C878" s="5" t="s">
        <v>2748</v>
      </c>
      <c r="D878" s="82" t="s">
        <v>2749</v>
      </c>
      <c r="E878" s="82"/>
      <c r="F878" s="82"/>
      <c r="G878" s="82"/>
      <c r="H878" s="82"/>
      <c r="I878" s="82"/>
      <c r="J878" s="82"/>
      <c r="K878" s="23">
        <v>1</v>
      </c>
      <c r="L878" s="23">
        <f>ROUND(0.911,3)</f>
        <v>0.91100000000000003</v>
      </c>
      <c r="M878" s="24">
        <f t="shared" si="39"/>
        <v>0.91</v>
      </c>
    </row>
    <row r="879" spans="1:13" ht="15.15" customHeight="1" thickBot="1" x14ac:dyDescent="0.35">
      <c r="A879" s="5" t="s">
        <v>2750</v>
      </c>
      <c r="B879" s="5" t="s">
        <v>2751</v>
      </c>
      <c r="C879" s="5" t="s">
        <v>2752</v>
      </c>
      <c r="D879" s="82" t="s">
        <v>2753</v>
      </c>
      <c r="E879" s="82"/>
      <c r="F879" s="82"/>
      <c r="G879" s="82"/>
      <c r="H879" s="82"/>
      <c r="I879" s="82"/>
      <c r="J879" s="82"/>
      <c r="K879" s="23">
        <v>2.5999999999999999E-2</v>
      </c>
      <c r="L879" s="23">
        <f>ROUND(5.461,3)</f>
        <v>5.4610000000000003</v>
      </c>
      <c r="M879" s="24">
        <f t="shared" si="39"/>
        <v>0.14000000000000001</v>
      </c>
    </row>
    <row r="880" spans="1:13" ht="15.15" customHeight="1" thickBot="1" x14ac:dyDescent="0.35">
      <c r="A880" s="5" t="s">
        <v>2754</v>
      </c>
      <c r="B880" s="5" t="s">
        <v>2755</v>
      </c>
      <c r="C880" s="5" t="s">
        <v>2756</v>
      </c>
      <c r="D880" s="82" t="s">
        <v>2757</v>
      </c>
      <c r="E880" s="82"/>
      <c r="F880" s="82"/>
      <c r="G880" s="82"/>
      <c r="H880" s="82"/>
      <c r="I880" s="82"/>
      <c r="J880" s="82"/>
      <c r="K880" s="23">
        <v>0.192</v>
      </c>
      <c r="L880" s="23">
        <f>ROUND(2.059,3)</f>
        <v>2.0590000000000002</v>
      </c>
      <c r="M880" s="24">
        <f t="shared" si="39"/>
        <v>0.4</v>
      </c>
    </row>
    <row r="881" spans="1:13" ht="15.15" customHeight="1" thickBot="1" x14ac:dyDescent="0.35">
      <c r="A881" s="5" t="s">
        <v>2758</v>
      </c>
      <c r="B881" s="5" t="s">
        <v>2759</v>
      </c>
      <c r="C881" s="5" t="s">
        <v>2760</v>
      </c>
      <c r="D881" s="82" t="s">
        <v>2761</v>
      </c>
      <c r="E881" s="82"/>
      <c r="F881" s="82"/>
      <c r="G881" s="82"/>
      <c r="H881" s="82"/>
      <c r="I881" s="82"/>
      <c r="J881" s="82"/>
      <c r="K881" s="23">
        <v>3.0000000000000001E-3</v>
      </c>
      <c r="L881" s="23">
        <f>ROUND(23.562,3)</f>
        <v>23.562000000000001</v>
      </c>
      <c r="M881" s="24">
        <f t="shared" si="39"/>
        <v>7.0000000000000007E-2</v>
      </c>
    </row>
    <row r="882" spans="1:13" ht="15.15" customHeight="1" thickBot="1" x14ac:dyDescent="0.35">
      <c r="A882" s="5" t="s">
        <v>2762</v>
      </c>
      <c r="B882" s="5" t="s">
        <v>2763</v>
      </c>
      <c r="C882" s="5" t="s">
        <v>2764</v>
      </c>
      <c r="D882" s="82" t="s">
        <v>2765</v>
      </c>
      <c r="E882" s="82"/>
      <c r="F882" s="82"/>
      <c r="G882" s="82"/>
      <c r="H882" s="82"/>
      <c r="I882" s="82"/>
      <c r="J882" s="82"/>
      <c r="K882" s="23">
        <v>0.03</v>
      </c>
      <c r="L882" s="23">
        <f>ROUND(30,3)</f>
        <v>30</v>
      </c>
      <c r="M882" s="24">
        <f t="shared" si="39"/>
        <v>0.9</v>
      </c>
    </row>
    <row r="883" spans="1:13" ht="15.15" customHeight="1" thickBot="1" x14ac:dyDescent="0.35">
      <c r="A883" s="5" t="s">
        <v>2766</v>
      </c>
      <c r="B883" s="5" t="s">
        <v>2767</v>
      </c>
      <c r="C883" s="5" t="s">
        <v>2768</v>
      </c>
      <c r="D883" s="82" t="s">
        <v>2769</v>
      </c>
      <c r="E883" s="82"/>
      <c r="F883" s="82"/>
      <c r="G883" s="82"/>
      <c r="H883" s="82"/>
      <c r="I883" s="82"/>
      <c r="J883" s="82"/>
      <c r="K883" s="23">
        <v>8.5000000000000006E-2</v>
      </c>
      <c r="L883" s="23">
        <f>ROUND(21,3)</f>
        <v>21</v>
      </c>
      <c r="M883" s="24">
        <f t="shared" si="39"/>
        <v>1.79</v>
      </c>
    </row>
    <row r="884" spans="1:13" ht="15.15" customHeight="1" thickBot="1" x14ac:dyDescent="0.35">
      <c r="A884" s="5" t="s">
        <v>2770</v>
      </c>
      <c r="B884" s="5" t="s">
        <v>2771</v>
      </c>
      <c r="C884" s="5" t="s">
        <v>2772</v>
      </c>
      <c r="D884" s="82" t="s">
        <v>2773</v>
      </c>
      <c r="E884" s="82"/>
      <c r="F884" s="82"/>
      <c r="G884" s="82"/>
      <c r="H884" s="82"/>
      <c r="I884" s="82"/>
      <c r="J884" s="82"/>
      <c r="K884" s="23">
        <v>5.2999999999999999E-2</v>
      </c>
      <c r="L884" s="23">
        <f>ROUND(30,3)</f>
        <v>30</v>
      </c>
      <c r="M884" s="24">
        <f t="shared" si="39"/>
        <v>1.59</v>
      </c>
    </row>
    <row r="885" spans="1:13" ht="15.15" customHeight="1" thickBot="1" x14ac:dyDescent="0.35">
      <c r="A885" s="5" t="s">
        <v>2774</v>
      </c>
      <c r="B885" s="5" t="s">
        <v>2775</v>
      </c>
      <c r="C885" s="5" t="s">
        <v>2776</v>
      </c>
      <c r="D885" s="82" t="s">
        <v>2777</v>
      </c>
      <c r="E885" s="82"/>
      <c r="F885" s="82"/>
      <c r="G885" s="82"/>
      <c r="H885" s="82"/>
      <c r="I885" s="82"/>
      <c r="J885" s="82"/>
      <c r="K885" s="23">
        <v>2.5999999999999999E-2</v>
      </c>
      <c r="L885" s="23">
        <f>ROUND(26,3)</f>
        <v>26</v>
      </c>
      <c r="M885" s="24">
        <f t="shared" si="39"/>
        <v>0.68</v>
      </c>
    </row>
    <row r="886" spans="1:13" ht="15.15" customHeight="1" thickBot="1" x14ac:dyDescent="0.35">
      <c r="A886" s="5" t="s">
        <v>2778</v>
      </c>
      <c r="B886" s="5"/>
      <c r="C886" s="5" t="s">
        <v>2779</v>
      </c>
      <c r="D886" s="82" t="s">
        <v>2780</v>
      </c>
      <c r="E886" s="82"/>
      <c r="F886" s="82"/>
      <c r="G886" s="82"/>
      <c r="H886" s="82"/>
      <c r="I886" s="82"/>
      <c r="J886" s="82"/>
      <c r="K886" s="23">
        <v>2</v>
      </c>
      <c r="L886" s="23">
        <f>ROUND(11.57,3)</f>
        <v>11.57</v>
      </c>
      <c r="M886" s="24">
        <f>ROUND((K886*L886)/100,2)</f>
        <v>0.23</v>
      </c>
    </row>
    <row r="887" spans="1:13" ht="15.45" customHeight="1" thickBot="1" x14ac:dyDescent="0.35">
      <c r="A887" s="37"/>
      <c r="B887" s="37"/>
      <c r="C887" s="37"/>
      <c r="D887" s="38" t="s">
        <v>2781</v>
      </c>
      <c r="E887" s="37"/>
      <c r="F887" s="37"/>
      <c r="G887" s="37"/>
      <c r="H887" s="37"/>
      <c r="I887" s="37"/>
      <c r="J887" s="37"/>
      <c r="K887" s="39">
        <v>52</v>
      </c>
      <c r="L887" s="40">
        <f>ROUND((M875+M876+M877+M878+M879+M880+M881+M882+M883+M884+M885+M886)*(1+M2/100),2)</f>
        <v>12.15</v>
      </c>
      <c r="M887" s="40">
        <f>ROUND(K887*L887,2)</f>
        <v>631.79999999999995</v>
      </c>
    </row>
    <row r="888" spans="1:13" ht="15.45" customHeight="1" thickBot="1" x14ac:dyDescent="0.35">
      <c r="A888" s="58" t="s">
        <v>2782</v>
      </c>
      <c r="B888" s="59" t="s">
        <v>2783</v>
      </c>
      <c r="C888" s="59" t="s">
        <v>2784</v>
      </c>
      <c r="D888" s="85" t="s">
        <v>2785</v>
      </c>
      <c r="E888" s="85"/>
      <c r="F888" s="85"/>
      <c r="G888" s="85"/>
      <c r="H888" s="85"/>
      <c r="I888" s="85"/>
      <c r="J888" s="85"/>
      <c r="K888" s="60">
        <f>SUM(K890:K892)</f>
        <v>21</v>
      </c>
      <c r="L888" s="61">
        <f>L905</f>
        <v>16.11</v>
      </c>
      <c r="M888" s="61">
        <f>ROUND(K888*L888,2)</f>
        <v>338.31</v>
      </c>
    </row>
    <row r="889" spans="1:13" ht="15.15" customHeight="1" thickBot="1" x14ac:dyDescent="0.35">
      <c r="A889" s="25"/>
      <c r="B889" s="25"/>
      <c r="C889" s="25"/>
      <c r="D889" s="25"/>
      <c r="E889" s="26"/>
      <c r="F889" s="28" t="s">
        <v>2786</v>
      </c>
      <c r="G889" s="28" t="s">
        <v>2787</v>
      </c>
      <c r="H889" s="28" t="s">
        <v>2788</v>
      </c>
      <c r="I889" s="28" t="s">
        <v>2789</v>
      </c>
      <c r="J889" s="28" t="s">
        <v>2790</v>
      </c>
      <c r="K889" s="28" t="s">
        <v>2791</v>
      </c>
      <c r="L889" s="25"/>
      <c r="M889" s="25"/>
    </row>
    <row r="890" spans="1:13" ht="15.15" customHeight="1" thickBot="1" x14ac:dyDescent="0.35">
      <c r="A890" s="25"/>
      <c r="B890" s="25"/>
      <c r="C890" s="25"/>
      <c r="D890" s="29"/>
      <c r="E890" s="30"/>
      <c r="F890" s="31">
        <v>1</v>
      </c>
      <c r="G890" s="32">
        <v>8</v>
      </c>
      <c r="H890" s="32"/>
      <c r="I890" s="32"/>
      <c r="J890" s="34">
        <f>ROUND(F890*G890,3)</f>
        <v>8</v>
      </c>
      <c r="K890" s="57"/>
      <c r="L890" s="25"/>
      <c r="M890" s="25"/>
    </row>
    <row r="891" spans="1:13" ht="15.15" customHeight="1" thickBot="1" x14ac:dyDescent="0.35">
      <c r="A891" s="25"/>
      <c r="B891" s="25"/>
      <c r="C891" s="25"/>
      <c r="D891" s="29"/>
      <c r="E891" s="5"/>
      <c r="F891" s="3">
        <v>1</v>
      </c>
      <c r="G891" s="23">
        <v>10</v>
      </c>
      <c r="H891" s="23"/>
      <c r="I891" s="23"/>
      <c r="J891" s="33">
        <f>ROUND(F891*G891,3)</f>
        <v>10</v>
      </c>
      <c r="K891" s="25"/>
      <c r="L891" s="25"/>
      <c r="M891" s="25"/>
    </row>
    <row r="892" spans="1:13" ht="15.15" customHeight="1" thickBot="1" x14ac:dyDescent="0.35">
      <c r="A892" s="25"/>
      <c r="B892" s="25"/>
      <c r="C892" s="25"/>
      <c r="D892" s="29"/>
      <c r="E892" s="5"/>
      <c r="F892" s="3">
        <v>1</v>
      </c>
      <c r="G892" s="23">
        <v>3</v>
      </c>
      <c r="H892" s="23"/>
      <c r="I892" s="23"/>
      <c r="J892" s="33">
        <f>ROUND(F892*G892,3)</f>
        <v>3</v>
      </c>
      <c r="K892" s="35">
        <f>SUM(J890:J892)</f>
        <v>21</v>
      </c>
      <c r="L892" s="25"/>
      <c r="M892" s="25"/>
    </row>
    <row r="893" spans="1:13" ht="15.15" customHeight="1" thickBot="1" x14ac:dyDescent="0.35">
      <c r="A893" s="5" t="s">
        <v>2792</v>
      </c>
      <c r="B893" s="5" t="s">
        <v>2793</v>
      </c>
      <c r="C893" s="5" t="s">
        <v>2794</v>
      </c>
      <c r="D893" s="82" t="s">
        <v>2795</v>
      </c>
      <c r="E893" s="82"/>
      <c r="F893" s="82"/>
      <c r="G893" s="82"/>
      <c r="H893" s="82"/>
      <c r="I893" s="82"/>
      <c r="J893" s="82"/>
      <c r="K893" s="23">
        <v>0.34599999999999997</v>
      </c>
      <c r="L893" s="23">
        <f>ROUND(6.416,3)</f>
        <v>6.4160000000000004</v>
      </c>
      <c r="M893" s="24">
        <f t="shared" ref="M893:M903" si="40">ROUND(K893*L893,2)</f>
        <v>2.2200000000000002</v>
      </c>
    </row>
    <row r="894" spans="1:13" ht="21.3" customHeight="1" thickBot="1" x14ac:dyDescent="0.35">
      <c r="A894" s="5" t="s">
        <v>2796</v>
      </c>
      <c r="B894" s="5" t="s">
        <v>2797</v>
      </c>
      <c r="C894" s="5" t="s">
        <v>2798</v>
      </c>
      <c r="D894" s="82" t="s">
        <v>2799</v>
      </c>
      <c r="E894" s="82"/>
      <c r="F894" s="82"/>
      <c r="G894" s="82"/>
      <c r="H894" s="82"/>
      <c r="I894" s="82"/>
      <c r="J894" s="82"/>
      <c r="K894" s="23">
        <v>1.05</v>
      </c>
      <c r="L894" s="23">
        <f>ROUND(4.63,3)</f>
        <v>4.63</v>
      </c>
      <c r="M894" s="24">
        <f t="shared" si="40"/>
        <v>4.8600000000000003</v>
      </c>
    </row>
    <row r="895" spans="1:13" ht="15.15" customHeight="1" thickBot="1" x14ac:dyDescent="0.35">
      <c r="A895" s="5" t="s">
        <v>2800</v>
      </c>
      <c r="B895" s="5" t="s">
        <v>2801</v>
      </c>
      <c r="C895" s="5" t="s">
        <v>2802</v>
      </c>
      <c r="D895" s="82" t="s">
        <v>2803</v>
      </c>
      <c r="E895" s="82"/>
      <c r="F895" s="82"/>
      <c r="G895" s="82"/>
      <c r="H895" s="82"/>
      <c r="I895" s="82"/>
      <c r="J895" s="82"/>
      <c r="K895" s="23">
        <v>3.0000000000000001E-3</v>
      </c>
      <c r="L895" s="23">
        <f>ROUND(12.204,3)</f>
        <v>12.204000000000001</v>
      </c>
      <c r="M895" s="24">
        <f t="shared" si="40"/>
        <v>0.04</v>
      </c>
    </row>
    <row r="896" spans="1:13" ht="21.3" customHeight="1" thickBot="1" x14ac:dyDescent="0.35">
      <c r="A896" s="5" t="s">
        <v>2804</v>
      </c>
      <c r="B896" s="5" t="s">
        <v>2805</v>
      </c>
      <c r="C896" s="5" t="s">
        <v>2806</v>
      </c>
      <c r="D896" s="82" t="s">
        <v>2807</v>
      </c>
      <c r="E896" s="82"/>
      <c r="F896" s="82"/>
      <c r="G896" s="82"/>
      <c r="H896" s="82"/>
      <c r="I896" s="82"/>
      <c r="J896" s="82"/>
      <c r="K896" s="23">
        <v>1</v>
      </c>
      <c r="L896" s="23">
        <f>ROUND(1.478,3)</f>
        <v>1.478</v>
      </c>
      <c r="M896" s="24">
        <f t="shared" si="40"/>
        <v>1.48</v>
      </c>
    </row>
    <row r="897" spans="1:13" ht="15.15" customHeight="1" thickBot="1" x14ac:dyDescent="0.35">
      <c r="A897" s="5" t="s">
        <v>2808</v>
      </c>
      <c r="B897" s="5" t="s">
        <v>2809</v>
      </c>
      <c r="C897" s="5" t="s">
        <v>2810</v>
      </c>
      <c r="D897" s="82" t="s">
        <v>2811</v>
      </c>
      <c r="E897" s="82"/>
      <c r="F897" s="82"/>
      <c r="G897" s="82"/>
      <c r="H897" s="82"/>
      <c r="I897" s="82"/>
      <c r="J897" s="82"/>
      <c r="K897" s="23">
        <v>2.9000000000000001E-2</v>
      </c>
      <c r="L897" s="23">
        <f>ROUND(5.461,3)</f>
        <v>5.4610000000000003</v>
      </c>
      <c r="M897" s="24">
        <f t="shared" si="40"/>
        <v>0.16</v>
      </c>
    </row>
    <row r="898" spans="1:13" ht="15.15" customHeight="1" thickBot="1" x14ac:dyDescent="0.35">
      <c r="A898" s="5" t="s">
        <v>2812</v>
      </c>
      <c r="B898" s="5" t="s">
        <v>2813</v>
      </c>
      <c r="C898" s="5" t="s">
        <v>2814</v>
      </c>
      <c r="D898" s="82" t="s">
        <v>2815</v>
      </c>
      <c r="E898" s="82"/>
      <c r="F898" s="82"/>
      <c r="G898" s="82"/>
      <c r="H898" s="82"/>
      <c r="I898" s="82"/>
      <c r="J898" s="82"/>
      <c r="K898" s="23">
        <v>0.214</v>
      </c>
      <c r="L898" s="23">
        <f>ROUND(2.059,3)</f>
        <v>2.0590000000000002</v>
      </c>
      <c r="M898" s="24">
        <f t="shared" si="40"/>
        <v>0.44</v>
      </c>
    </row>
    <row r="899" spans="1:13" ht="15.15" customHeight="1" thickBot="1" x14ac:dyDescent="0.35">
      <c r="A899" s="5" t="s">
        <v>2816</v>
      </c>
      <c r="B899" s="5" t="s">
        <v>2817</v>
      </c>
      <c r="C899" s="5" t="s">
        <v>2818</v>
      </c>
      <c r="D899" s="82" t="s">
        <v>2819</v>
      </c>
      <c r="E899" s="82"/>
      <c r="F899" s="82"/>
      <c r="G899" s="82"/>
      <c r="H899" s="82"/>
      <c r="I899" s="82"/>
      <c r="J899" s="82"/>
      <c r="K899" s="23">
        <v>3.0000000000000001E-3</v>
      </c>
      <c r="L899" s="23">
        <f>ROUND(23.562,3)</f>
        <v>23.562000000000001</v>
      </c>
      <c r="M899" s="24">
        <f t="shared" si="40"/>
        <v>7.0000000000000007E-2</v>
      </c>
    </row>
    <row r="900" spans="1:13" ht="15.15" customHeight="1" thickBot="1" x14ac:dyDescent="0.35">
      <c r="A900" s="5" t="s">
        <v>2820</v>
      </c>
      <c r="B900" s="5" t="s">
        <v>2821</v>
      </c>
      <c r="C900" s="5" t="s">
        <v>2822</v>
      </c>
      <c r="D900" s="82" t="s">
        <v>2823</v>
      </c>
      <c r="E900" s="82"/>
      <c r="F900" s="82"/>
      <c r="G900" s="82"/>
      <c r="H900" s="82"/>
      <c r="I900" s="82"/>
      <c r="J900" s="82"/>
      <c r="K900" s="23">
        <v>3.9E-2</v>
      </c>
      <c r="L900" s="23">
        <f>ROUND(30,3)</f>
        <v>30</v>
      </c>
      <c r="M900" s="24">
        <f t="shared" si="40"/>
        <v>1.17</v>
      </c>
    </row>
    <row r="901" spans="1:13" ht="15.15" customHeight="1" thickBot="1" x14ac:dyDescent="0.35">
      <c r="A901" s="5" t="s">
        <v>2824</v>
      </c>
      <c r="B901" s="5" t="s">
        <v>2825</v>
      </c>
      <c r="C901" s="5" t="s">
        <v>2826</v>
      </c>
      <c r="D901" s="82" t="s">
        <v>2827</v>
      </c>
      <c r="E901" s="82"/>
      <c r="F901" s="82"/>
      <c r="G901" s="82"/>
      <c r="H901" s="82"/>
      <c r="I901" s="82"/>
      <c r="J901" s="82"/>
      <c r="K901" s="23">
        <v>9.5000000000000001E-2</v>
      </c>
      <c r="L901" s="23">
        <f>ROUND(21,3)</f>
        <v>21</v>
      </c>
      <c r="M901" s="24">
        <f t="shared" si="40"/>
        <v>2</v>
      </c>
    </row>
    <row r="902" spans="1:13" ht="15.15" customHeight="1" thickBot="1" x14ac:dyDescent="0.35">
      <c r="A902" s="5" t="s">
        <v>2828</v>
      </c>
      <c r="B902" s="5" t="s">
        <v>2829</v>
      </c>
      <c r="C902" s="5" t="s">
        <v>2830</v>
      </c>
      <c r="D902" s="82" t="s">
        <v>2831</v>
      </c>
      <c r="E902" s="82"/>
      <c r="F902" s="82"/>
      <c r="G902" s="82"/>
      <c r="H902" s="82"/>
      <c r="I902" s="82"/>
      <c r="J902" s="82"/>
      <c r="K902" s="23">
        <v>6.7000000000000004E-2</v>
      </c>
      <c r="L902" s="23">
        <f>ROUND(30,3)</f>
        <v>30</v>
      </c>
      <c r="M902" s="24">
        <f t="shared" si="40"/>
        <v>2.0099999999999998</v>
      </c>
    </row>
    <row r="903" spans="1:13" ht="15.15" customHeight="1" thickBot="1" x14ac:dyDescent="0.35">
      <c r="A903" s="5" t="s">
        <v>2832</v>
      </c>
      <c r="B903" s="5" t="s">
        <v>2833</v>
      </c>
      <c r="C903" s="5" t="s">
        <v>2834</v>
      </c>
      <c r="D903" s="82" t="s">
        <v>2835</v>
      </c>
      <c r="E903" s="82"/>
      <c r="F903" s="82"/>
      <c r="G903" s="82"/>
      <c r="H903" s="82"/>
      <c r="I903" s="82"/>
      <c r="J903" s="82"/>
      <c r="K903" s="23">
        <v>3.4000000000000002E-2</v>
      </c>
      <c r="L903" s="23">
        <f>ROUND(26,3)</f>
        <v>26</v>
      </c>
      <c r="M903" s="24">
        <f t="shared" si="40"/>
        <v>0.88</v>
      </c>
    </row>
    <row r="904" spans="1:13" ht="15.15" customHeight="1" thickBot="1" x14ac:dyDescent="0.35">
      <c r="A904" s="5" t="s">
        <v>2836</v>
      </c>
      <c r="B904" s="5"/>
      <c r="C904" s="5" t="s">
        <v>2837</v>
      </c>
      <c r="D904" s="82" t="s">
        <v>2838</v>
      </c>
      <c r="E904" s="82"/>
      <c r="F904" s="82"/>
      <c r="G904" s="82"/>
      <c r="H904" s="82"/>
      <c r="I904" s="82"/>
      <c r="J904" s="82"/>
      <c r="K904" s="23">
        <v>2</v>
      </c>
      <c r="L904" s="23">
        <f>ROUND(15.33,3)</f>
        <v>15.33</v>
      </c>
      <c r="M904" s="24">
        <f>ROUND((K904*L904)/100,2)</f>
        <v>0.31</v>
      </c>
    </row>
    <row r="905" spans="1:13" ht="15.45" customHeight="1" thickBot="1" x14ac:dyDescent="0.35">
      <c r="A905" s="37"/>
      <c r="B905" s="37"/>
      <c r="C905" s="37"/>
      <c r="D905" s="38" t="s">
        <v>2839</v>
      </c>
      <c r="E905" s="37"/>
      <c r="F905" s="37"/>
      <c r="G905" s="37"/>
      <c r="H905" s="37"/>
      <c r="I905" s="37"/>
      <c r="J905" s="37"/>
      <c r="K905" s="39">
        <v>21</v>
      </c>
      <c r="L905" s="40">
        <f>ROUND((M893+M894+M895+M896+M897+M898+M899+M900+M901+M902+M903+M904)*(1+M2/100),2)</f>
        <v>16.11</v>
      </c>
      <c r="M905" s="40">
        <f>ROUND(K905*L905,2)</f>
        <v>338.31</v>
      </c>
    </row>
    <row r="906" spans="1:13" ht="15.45" customHeight="1" thickBot="1" x14ac:dyDescent="0.35">
      <c r="A906" s="58" t="s">
        <v>2840</v>
      </c>
      <c r="B906" s="59" t="s">
        <v>2841</v>
      </c>
      <c r="C906" s="59" t="s">
        <v>2842</v>
      </c>
      <c r="D906" s="85" t="s">
        <v>2843</v>
      </c>
      <c r="E906" s="85"/>
      <c r="F906" s="85"/>
      <c r="G906" s="85"/>
      <c r="H906" s="85"/>
      <c r="I906" s="85"/>
      <c r="J906" s="85"/>
      <c r="K906" s="60">
        <f>SUM(K908:K910)</f>
        <v>95</v>
      </c>
      <c r="L906" s="61">
        <f>L923</f>
        <v>21.13</v>
      </c>
      <c r="M906" s="61">
        <f>ROUND(K906*L906,2)</f>
        <v>2007.35</v>
      </c>
    </row>
    <row r="907" spans="1:13" ht="15.15" customHeight="1" thickBot="1" x14ac:dyDescent="0.35">
      <c r="A907" s="25"/>
      <c r="B907" s="25"/>
      <c r="C907" s="25"/>
      <c r="D907" s="25"/>
      <c r="E907" s="26"/>
      <c r="F907" s="28" t="s">
        <v>2844</v>
      </c>
      <c r="G907" s="28" t="s">
        <v>2845</v>
      </c>
      <c r="H907" s="28" t="s">
        <v>2846</v>
      </c>
      <c r="I907" s="28" t="s">
        <v>2847</v>
      </c>
      <c r="J907" s="28" t="s">
        <v>2848</v>
      </c>
      <c r="K907" s="28" t="s">
        <v>2849</v>
      </c>
      <c r="L907" s="25"/>
      <c r="M907" s="25"/>
    </row>
    <row r="908" spans="1:13" ht="15.15" customHeight="1" thickBot="1" x14ac:dyDescent="0.35">
      <c r="A908" s="25"/>
      <c r="B908" s="25"/>
      <c r="C908" s="25"/>
      <c r="D908" s="29"/>
      <c r="E908" s="30"/>
      <c r="F908" s="31">
        <v>1</v>
      </c>
      <c r="G908" s="32">
        <v>18</v>
      </c>
      <c r="H908" s="32"/>
      <c r="I908" s="32"/>
      <c r="J908" s="34">
        <f>ROUND(F908*G908,3)</f>
        <v>18</v>
      </c>
      <c r="K908" s="57"/>
      <c r="L908" s="25"/>
      <c r="M908" s="25"/>
    </row>
    <row r="909" spans="1:13" ht="15.15" customHeight="1" thickBot="1" x14ac:dyDescent="0.35">
      <c r="A909" s="25"/>
      <c r="B909" s="25"/>
      <c r="C909" s="25"/>
      <c r="D909" s="29"/>
      <c r="E909" s="5"/>
      <c r="F909" s="3">
        <v>1</v>
      </c>
      <c r="G909" s="23">
        <v>61</v>
      </c>
      <c r="H909" s="23"/>
      <c r="I909" s="23"/>
      <c r="J909" s="33">
        <f>ROUND(F909*G909,3)</f>
        <v>61</v>
      </c>
      <c r="K909" s="25"/>
      <c r="L909" s="25"/>
      <c r="M909" s="25"/>
    </row>
    <row r="910" spans="1:13" ht="15.15" customHeight="1" thickBot="1" x14ac:dyDescent="0.35">
      <c r="A910" s="25"/>
      <c r="B910" s="25"/>
      <c r="C910" s="25"/>
      <c r="D910" s="29"/>
      <c r="E910" s="5"/>
      <c r="F910" s="3">
        <v>1</v>
      </c>
      <c r="G910" s="23">
        <v>16</v>
      </c>
      <c r="H910" s="23"/>
      <c r="I910" s="23"/>
      <c r="J910" s="33">
        <f>ROUND(F910*G910,3)</f>
        <v>16</v>
      </c>
      <c r="K910" s="35">
        <f>SUM(J908:J910)</f>
        <v>95</v>
      </c>
      <c r="L910" s="25"/>
      <c r="M910" s="25"/>
    </row>
    <row r="911" spans="1:13" ht="15.15" customHeight="1" thickBot="1" x14ac:dyDescent="0.35">
      <c r="A911" s="5" t="s">
        <v>2850</v>
      </c>
      <c r="B911" s="5" t="s">
        <v>2851</v>
      </c>
      <c r="C911" s="5" t="s">
        <v>2852</v>
      </c>
      <c r="D911" s="82" t="s">
        <v>2853</v>
      </c>
      <c r="E911" s="82"/>
      <c r="F911" s="82"/>
      <c r="G911" s="82"/>
      <c r="H911" s="82"/>
      <c r="I911" s="82"/>
      <c r="J911" s="82"/>
      <c r="K911" s="23">
        <v>0.38500000000000001</v>
      </c>
      <c r="L911" s="23">
        <f>ROUND(6.416,3)</f>
        <v>6.4160000000000004</v>
      </c>
      <c r="M911" s="24">
        <f t="shared" ref="M911:M921" si="41">ROUND(K911*L911,2)</f>
        <v>2.4700000000000002</v>
      </c>
    </row>
    <row r="912" spans="1:13" ht="21.3" customHeight="1" thickBot="1" x14ac:dyDescent="0.35">
      <c r="A912" s="5" t="s">
        <v>2854</v>
      </c>
      <c r="B912" s="5" t="s">
        <v>2855</v>
      </c>
      <c r="C912" s="5" t="s">
        <v>2856</v>
      </c>
      <c r="D912" s="82" t="s">
        <v>2857</v>
      </c>
      <c r="E912" s="82"/>
      <c r="F912" s="82"/>
      <c r="G912" s="82"/>
      <c r="H912" s="82"/>
      <c r="I912" s="82"/>
      <c r="J912" s="82"/>
      <c r="K912" s="23">
        <v>1.05</v>
      </c>
      <c r="L912" s="23">
        <f>ROUND(7.038,3)</f>
        <v>7.0380000000000003</v>
      </c>
      <c r="M912" s="24">
        <f t="shared" si="41"/>
        <v>7.39</v>
      </c>
    </row>
    <row r="913" spans="1:13" ht="15.15" customHeight="1" thickBot="1" x14ac:dyDescent="0.35">
      <c r="A913" s="5" t="s">
        <v>2858</v>
      </c>
      <c r="B913" s="5" t="s">
        <v>2859</v>
      </c>
      <c r="C913" s="5" t="s">
        <v>2860</v>
      </c>
      <c r="D913" s="82" t="s">
        <v>2861</v>
      </c>
      <c r="E913" s="82"/>
      <c r="F913" s="82"/>
      <c r="G913" s="82"/>
      <c r="H913" s="82"/>
      <c r="I913" s="82"/>
      <c r="J913" s="82"/>
      <c r="K913" s="23">
        <v>3.0000000000000001E-3</v>
      </c>
      <c r="L913" s="23">
        <f>ROUND(12.204,3)</f>
        <v>12.204000000000001</v>
      </c>
      <c r="M913" s="24">
        <f t="shared" si="41"/>
        <v>0.04</v>
      </c>
    </row>
    <row r="914" spans="1:13" ht="21.3" customHeight="1" thickBot="1" x14ac:dyDescent="0.35">
      <c r="A914" s="5" t="s">
        <v>2862</v>
      </c>
      <c r="B914" s="5" t="s">
        <v>2863</v>
      </c>
      <c r="C914" s="5" t="s">
        <v>2864</v>
      </c>
      <c r="D914" s="82" t="s">
        <v>2865</v>
      </c>
      <c r="E914" s="82"/>
      <c r="F914" s="82"/>
      <c r="G914" s="82"/>
      <c r="H914" s="82"/>
      <c r="I914" s="82"/>
      <c r="J914" s="82"/>
      <c r="K914" s="23">
        <v>1</v>
      </c>
      <c r="L914" s="23">
        <f>ROUND(2.133,3)</f>
        <v>2.133</v>
      </c>
      <c r="M914" s="24">
        <f t="shared" si="41"/>
        <v>2.13</v>
      </c>
    </row>
    <row r="915" spans="1:13" ht="15.15" customHeight="1" thickBot="1" x14ac:dyDescent="0.35">
      <c r="A915" s="5" t="s">
        <v>2866</v>
      </c>
      <c r="B915" s="5" t="s">
        <v>2867</v>
      </c>
      <c r="C915" s="5" t="s">
        <v>2868</v>
      </c>
      <c r="D915" s="82" t="s">
        <v>2869</v>
      </c>
      <c r="E915" s="82"/>
      <c r="F915" s="82"/>
      <c r="G915" s="82"/>
      <c r="H915" s="82"/>
      <c r="I915" s="82"/>
      <c r="J915" s="82"/>
      <c r="K915" s="23">
        <v>3.3000000000000002E-2</v>
      </c>
      <c r="L915" s="23">
        <f>ROUND(5.461,3)</f>
        <v>5.4610000000000003</v>
      </c>
      <c r="M915" s="24">
        <f t="shared" si="41"/>
        <v>0.18</v>
      </c>
    </row>
    <row r="916" spans="1:13" ht="15.15" customHeight="1" thickBot="1" x14ac:dyDescent="0.35">
      <c r="A916" s="5" t="s">
        <v>2870</v>
      </c>
      <c r="B916" s="5" t="s">
        <v>2871</v>
      </c>
      <c r="C916" s="5" t="s">
        <v>2872</v>
      </c>
      <c r="D916" s="82" t="s">
        <v>2873</v>
      </c>
      <c r="E916" s="82"/>
      <c r="F916" s="82"/>
      <c r="G916" s="82"/>
      <c r="H916" s="82"/>
      <c r="I916" s="82"/>
      <c r="J916" s="82"/>
      <c r="K916" s="23">
        <v>0.24099999999999999</v>
      </c>
      <c r="L916" s="23">
        <f>ROUND(2.059,3)</f>
        <v>2.0590000000000002</v>
      </c>
      <c r="M916" s="24">
        <f t="shared" si="41"/>
        <v>0.5</v>
      </c>
    </row>
    <row r="917" spans="1:13" ht="15.15" customHeight="1" thickBot="1" x14ac:dyDescent="0.35">
      <c r="A917" s="5" t="s">
        <v>2874</v>
      </c>
      <c r="B917" s="5" t="s">
        <v>2875</v>
      </c>
      <c r="C917" s="5" t="s">
        <v>2876</v>
      </c>
      <c r="D917" s="82" t="s">
        <v>2877</v>
      </c>
      <c r="E917" s="82"/>
      <c r="F917" s="82"/>
      <c r="G917" s="82"/>
      <c r="H917" s="82"/>
      <c r="I917" s="82"/>
      <c r="J917" s="82"/>
      <c r="K917" s="23">
        <v>3.0000000000000001E-3</v>
      </c>
      <c r="L917" s="23">
        <f>ROUND(23.562,3)</f>
        <v>23.562000000000001</v>
      </c>
      <c r="M917" s="24">
        <f t="shared" si="41"/>
        <v>7.0000000000000007E-2</v>
      </c>
    </row>
    <row r="918" spans="1:13" ht="15.15" customHeight="1" thickBot="1" x14ac:dyDescent="0.35">
      <c r="A918" s="5" t="s">
        <v>2878</v>
      </c>
      <c r="B918" s="5" t="s">
        <v>2879</v>
      </c>
      <c r="C918" s="5" t="s">
        <v>2880</v>
      </c>
      <c r="D918" s="82" t="s">
        <v>2881</v>
      </c>
      <c r="E918" s="82"/>
      <c r="F918" s="82"/>
      <c r="G918" s="82"/>
      <c r="H918" s="82"/>
      <c r="I918" s="82"/>
      <c r="J918" s="82"/>
      <c r="K918" s="23">
        <v>4.8000000000000001E-2</v>
      </c>
      <c r="L918" s="23">
        <f>ROUND(30,3)</f>
        <v>30</v>
      </c>
      <c r="M918" s="24">
        <f t="shared" si="41"/>
        <v>1.44</v>
      </c>
    </row>
    <row r="919" spans="1:13" ht="15.15" customHeight="1" thickBot="1" x14ac:dyDescent="0.35">
      <c r="A919" s="5" t="s">
        <v>2882</v>
      </c>
      <c r="B919" s="5" t="s">
        <v>2883</v>
      </c>
      <c r="C919" s="5" t="s">
        <v>2884</v>
      </c>
      <c r="D919" s="82" t="s">
        <v>2885</v>
      </c>
      <c r="E919" s="82"/>
      <c r="F919" s="82"/>
      <c r="G919" s="82"/>
      <c r="H919" s="82"/>
      <c r="I919" s="82"/>
      <c r="J919" s="82"/>
      <c r="K919" s="23">
        <v>0.107</v>
      </c>
      <c r="L919" s="23">
        <f>ROUND(21,3)</f>
        <v>21</v>
      </c>
      <c r="M919" s="24">
        <f t="shared" si="41"/>
        <v>2.25</v>
      </c>
    </row>
    <row r="920" spans="1:13" ht="15.15" customHeight="1" thickBot="1" x14ac:dyDescent="0.35">
      <c r="A920" s="5" t="s">
        <v>2886</v>
      </c>
      <c r="B920" s="5" t="s">
        <v>2887</v>
      </c>
      <c r="C920" s="5" t="s">
        <v>2888</v>
      </c>
      <c r="D920" s="82" t="s">
        <v>2889</v>
      </c>
      <c r="E920" s="82"/>
      <c r="F920" s="82"/>
      <c r="G920" s="82"/>
      <c r="H920" s="82"/>
      <c r="I920" s="82"/>
      <c r="J920" s="82"/>
      <c r="K920" s="23">
        <v>8.5000000000000006E-2</v>
      </c>
      <c r="L920" s="23">
        <f>ROUND(30,3)</f>
        <v>30</v>
      </c>
      <c r="M920" s="24">
        <f t="shared" si="41"/>
        <v>2.5499999999999998</v>
      </c>
    </row>
    <row r="921" spans="1:13" ht="15.15" customHeight="1" thickBot="1" x14ac:dyDescent="0.35">
      <c r="A921" s="5" t="s">
        <v>2890</v>
      </c>
      <c r="B921" s="5" t="s">
        <v>2891</v>
      </c>
      <c r="C921" s="5" t="s">
        <v>2892</v>
      </c>
      <c r="D921" s="82" t="s">
        <v>2893</v>
      </c>
      <c r="E921" s="82"/>
      <c r="F921" s="82"/>
      <c r="G921" s="82"/>
      <c r="H921" s="82"/>
      <c r="I921" s="82"/>
      <c r="J921" s="82"/>
      <c r="K921" s="23">
        <v>4.2000000000000003E-2</v>
      </c>
      <c r="L921" s="23">
        <f>ROUND(26,3)</f>
        <v>26</v>
      </c>
      <c r="M921" s="24">
        <f t="shared" si="41"/>
        <v>1.0900000000000001</v>
      </c>
    </row>
    <row r="922" spans="1:13" ht="15.15" customHeight="1" thickBot="1" x14ac:dyDescent="0.35">
      <c r="A922" s="5" t="s">
        <v>2894</v>
      </c>
      <c r="B922" s="5"/>
      <c r="C922" s="5" t="s">
        <v>2895</v>
      </c>
      <c r="D922" s="82" t="s">
        <v>2896</v>
      </c>
      <c r="E922" s="82"/>
      <c r="F922" s="82"/>
      <c r="G922" s="82"/>
      <c r="H922" s="82"/>
      <c r="I922" s="82"/>
      <c r="J922" s="82"/>
      <c r="K922" s="23">
        <v>2</v>
      </c>
      <c r="L922" s="23">
        <f>ROUND(20.11,3)</f>
        <v>20.11</v>
      </c>
      <c r="M922" s="24">
        <f>ROUND((K922*L922)/100,2)</f>
        <v>0.4</v>
      </c>
    </row>
    <row r="923" spans="1:13" ht="15.45" customHeight="1" thickBot="1" x14ac:dyDescent="0.35">
      <c r="A923" s="37"/>
      <c r="B923" s="37"/>
      <c r="C923" s="37"/>
      <c r="D923" s="38" t="s">
        <v>2897</v>
      </c>
      <c r="E923" s="37"/>
      <c r="F923" s="37"/>
      <c r="G923" s="37"/>
      <c r="H923" s="37"/>
      <c r="I923" s="37"/>
      <c r="J923" s="37"/>
      <c r="K923" s="39">
        <v>95</v>
      </c>
      <c r="L923" s="40">
        <f>ROUND((M911+M912+M913+M914+M915+M916+M917+M918+M919+M920+M921+M922)*(1+M2/100),2)</f>
        <v>21.13</v>
      </c>
      <c r="M923" s="40">
        <f t="shared" ref="M923:M930" si="42">ROUND(K923*L923,2)</f>
        <v>2007.35</v>
      </c>
    </row>
    <row r="924" spans="1:13" ht="15.45" customHeight="1" thickBot="1" x14ac:dyDescent="0.35">
      <c r="A924" s="58" t="s">
        <v>2898</v>
      </c>
      <c r="B924" s="59" t="s">
        <v>2899</v>
      </c>
      <c r="C924" s="59" t="s">
        <v>2900</v>
      </c>
      <c r="D924" s="85" t="s">
        <v>2901</v>
      </c>
      <c r="E924" s="85"/>
      <c r="F924" s="85"/>
      <c r="G924" s="85"/>
      <c r="H924" s="85"/>
      <c r="I924" s="85"/>
      <c r="J924" s="85"/>
      <c r="K924" s="60">
        <f>ROUND(4,2)</f>
        <v>4</v>
      </c>
      <c r="L924" s="61">
        <f>L932</f>
        <v>65.489999999999995</v>
      </c>
      <c r="M924" s="61">
        <f t="shared" si="42"/>
        <v>261.95999999999998</v>
      </c>
    </row>
    <row r="925" spans="1:13" ht="21.3" customHeight="1" thickBot="1" x14ac:dyDescent="0.35">
      <c r="A925" s="5" t="s">
        <v>2902</v>
      </c>
      <c r="B925" s="5" t="s">
        <v>2903</v>
      </c>
      <c r="C925" s="5" t="s">
        <v>2904</v>
      </c>
      <c r="D925" s="82" t="s">
        <v>2905</v>
      </c>
      <c r="E925" s="82"/>
      <c r="F925" s="82"/>
      <c r="G925" s="82"/>
      <c r="H925" s="82"/>
      <c r="I925" s="82"/>
      <c r="J925" s="82"/>
      <c r="K925" s="23">
        <v>1</v>
      </c>
      <c r="L925" s="23">
        <f>ROUND(19.402,3)</f>
        <v>19.402000000000001</v>
      </c>
      <c r="M925" s="24">
        <f t="shared" si="42"/>
        <v>19.399999999999999</v>
      </c>
    </row>
    <row r="926" spans="1:13" ht="21.3" customHeight="1" thickBot="1" x14ac:dyDescent="0.35">
      <c r="A926" s="5" t="s">
        <v>2906</v>
      </c>
      <c r="B926" s="5" t="s">
        <v>2907</v>
      </c>
      <c r="C926" s="5" t="s">
        <v>2908</v>
      </c>
      <c r="D926" s="82" t="s">
        <v>2909</v>
      </c>
      <c r="E926" s="82"/>
      <c r="F926" s="82"/>
      <c r="G926" s="82"/>
      <c r="H926" s="82"/>
      <c r="I926" s="82"/>
      <c r="J926" s="82"/>
      <c r="K926" s="23">
        <v>1</v>
      </c>
      <c r="L926" s="23">
        <f>ROUND(22.618,3)</f>
        <v>22.617999999999999</v>
      </c>
      <c r="M926" s="24">
        <f t="shared" si="42"/>
        <v>22.62</v>
      </c>
    </row>
    <row r="927" spans="1:13" ht="24.3" customHeight="1" thickBot="1" x14ac:dyDescent="0.35">
      <c r="A927" s="5" t="s">
        <v>2910</v>
      </c>
      <c r="B927" s="5" t="s">
        <v>2911</v>
      </c>
      <c r="C927" s="5" t="s">
        <v>2912</v>
      </c>
      <c r="D927" s="82" t="s">
        <v>2913</v>
      </c>
      <c r="E927" s="82"/>
      <c r="F927" s="82"/>
      <c r="G927" s="82"/>
      <c r="H927" s="82"/>
      <c r="I927" s="82"/>
      <c r="J927" s="82"/>
      <c r="K927" s="23">
        <v>5.3999999999999999E-2</v>
      </c>
      <c r="L927" s="23">
        <f>ROUND(31.902,3)</f>
        <v>31.902000000000001</v>
      </c>
      <c r="M927" s="24">
        <f t="shared" si="42"/>
        <v>1.72</v>
      </c>
    </row>
    <row r="928" spans="1:13" ht="15.15" customHeight="1" thickBot="1" x14ac:dyDescent="0.35">
      <c r="A928" s="5" t="s">
        <v>2914</v>
      </c>
      <c r="B928" s="5" t="s">
        <v>2915</v>
      </c>
      <c r="C928" s="5" t="s">
        <v>2916</v>
      </c>
      <c r="D928" s="82" t="s">
        <v>2917</v>
      </c>
      <c r="E928" s="82"/>
      <c r="F928" s="82"/>
      <c r="G928" s="82"/>
      <c r="H928" s="82"/>
      <c r="I928" s="82"/>
      <c r="J928" s="82"/>
      <c r="K928" s="23">
        <v>0.69699999999999995</v>
      </c>
      <c r="L928" s="23">
        <f>ROUND(3.866,3)</f>
        <v>3.8660000000000001</v>
      </c>
      <c r="M928" s="24">
        <f t="shared" si="42"/>
        <v>2.69</v>
      </c>
    </row>
    <row r="929" spans="1:13" ht="15.15" customHeight="1" thickBot="1" x14ac:dyDescent="0.35">
      <c r="A929" s="5" t="s">
        <v>2918</v>
      </c>
      <c r="B929" s="5" t="s">
        <v>2919</v>
      </c>
      <c r="C929" s="5" t="s">
        <v>2920</v>
      </c>
      <c r="D929" s="82" t="s">
        <v>2921</v>
      </c>
      <c r="E929" s="82"/>
      <c r="F929" s="82"/>
      <c r="G929" s="82"/>
      <c r="H929" s="82"/>
      <c r="I929" s="82"/>
      <c r="J929" s="82"/>
      <c r="K929" s="23">
        <v>0.28399999999999997</v>
      </c>
      <c r="L929" s="23">
        <f>ROUND(30,3)</f>
        <v>30</v>
      </c>
      <c r="M929" s="24">
        <f t="shared" si="42"/>
        <v>8.52</v>
      </c>
    </row>
    <row r="930" spans="1:13" ht="15.15" customHeight="1" thickBot="1" x14ac:dyDescent="0.35">
      <c r="A930" s="5" t="s">
        <v>2922</v>
      </c>
      <c r="B930" s="5" t="s">
        <v>2923</v>
      </c>
      <c r="C930" s="5" t="s">
        <v>2924</v>
      </c>
      <c r="D930" s="82" t="s">
        <v>2925</v>
      </c>
      <c r="E930" s="82"/>
      <c r="F930" s="82"/>
      <c r="G930" s="82"/>
      <c r="H930" s="82"/>
      <c r="I930" s="82"/>
      <c r="J930" s="82"/>
      <c r="K930" s="23">
        <v>0.28399999999999997</v>
      </c>
      <c r="L930" s="23">
        <f>ROUND(26,3)</f>
        <v>26</v>
      </c>
      <c r="M930" s="24">
        <f t="shared" si="42"/>
        <v>7.38</v>
      </c>
    </row>
    <row r="931" spans="1:13" ht="15.15" customHeight="1" thickBot="1" x14ac:dyDescent="0.35">
      <c r="A931" s="5" t="s">
        <v>2926</v>
      </c>
      <c r="B931" s="5"/>
      <c r="C931" s="5" t="s">
        <v>2927</v>
      </c>
      <c r="D931" s="82" t="s">
        <v>2928</v>
      </c>
      <c r="E931" s="82"/>
      <c r="F931" s="82"/>
      <c r="G931" s="82"/>
      <c r="H931" s="82"/>
      <c r="I931" s="82"/>
      <c r="J931" s="82"/>
      <c r="K931" s="23">
        <v>2</v>
      </c>
      <c r="L931" s="23">
        <f>ROUND(62.33,3)</f>
        <v>62.33</v>
      </c>
      <c r="M931" s="24">
        <f>ROUND((K931*L931)/100,2)</f>
        <v>1.25</v>
      </c>
    </row>
    <row r="932" spans="1:13" ht="15.45" customHeight="1" thickBot="1" x14ac:dyDescent="0.35">
      <c r="A932" s="37"/>
      <c r="B932" s="37"/>
      <c r="C932" s="37"/>
      <c r="D932" s="38" t="s">
        <v>2929</v>
      </c>
      <c r="E932" s="37"/>
      <c r="F932" s="37"/>
      <c r="G932" s="37"/>
      <c r="H932" s="37"/>
      <c r="I932" s="37"/>
      <c r="J932" s="37"/>
      <c r="K932" s="39">
        <v>4</v>
      </c>
      <c r="L932" s="40">
        <f>ROUND((M925+M926+M927+M928+M929+M930+M931)*(1+M2/100),2)</f>
        <v>65.489999999999995</v>
      </c>
      <c r="M932" s="40">
        <f t="shared" ref="M932:M945" si="43">ROUND(K932*L932,2)</f>
        <v>261.95999999999998</v>
      </c>
    </row>
    <row r="933" spans="1:13" ht="15.45" customHeight="1" thickBot="1" x14ac:dyDescent="0.35">
      <c r="A933" s="58" t="s">
        <v>2930</v>
      </c>
      <c r="B933" s="59" t="s">
        <v>2931</v>
      </c>
      <c r="C933" s="59" t="s">
        <v>2932</v>
      </c>
      <c r="D933" s="85" t="s">
        <v>2933</v>
      </c>
      <c r="E933" s="85"/>
      <c r="F933" s="85"/>
      <c r="G933" s="85"/>
      <c r="H933" s="85"/>
      <c r="I933" s="85"/>
      <c r="J933" s="85"/>
      <c r="K933" s="60">
        <f>ROUND(1,2)</f>
        <v>1</v>
      </c>
      <c r="L933" s="61">
        <f>L947</f>
        <v>225.44</v>
      </c>
      <c r="M933" s="61">
        <f t="shared" si="43"/>
        <v>225.44</v>
      </c>
    </row>
    <row r="934" spans="1:13" ht="24.3" customHeight="1" thickBot="1" x14ac:dyDescent="0.35">
      <c r="A934" s="5" t="s">
        <v>2934</v>
      </c>
      <c r="B934" s="5" t="s">
        <v>2935</v>
      </c>
      <c r="C934" s="5" t="s">
        <v>2936</v>
      </c>
      <c r="D934" s="82" t="s">
        <v>2937</v>
      </c>
      <c r="E934" s="82"/>
      <c r="F934" s="82"/>
      <c r="G934" s="82"/>
      <c r="H934" s="82"/>
      <c r="I934" s="82"/>
      <c r="J934" s="82"/>
      <c r="K934" s="23">
        <v>0.26600000000000001</v>
      </c>
      <c r="L934" s="23">
        <f>ROUND(46.906,3)</f>
        <v>46.905999999999999</v>
      </c>
      <c r="M934" s="24">
        <f t="shared" si="43"/>
        <v>12.48</v>
      </c>
    </row>
    <row r="935" spans="1:13" ht="21.3" customHeight="1" thickBot="1" x14ac:dyDescent="0.35">
      <c r="A935" s="5" t="s">
        <v>2938</v>
      </c>
      <c r="B935" s="5" t="s">
        <v>2939</v>
      </c>
      <c r="C935" s="5" t="s">
        <v>2940</v>
      </c>
      <c r="D935" s="82" t="s">
        <v>2941</v>
      </c>
      <c r="E935" s="82"/>
      <c r="F935" s="82"/>
      <c r="G935" s="82"/>
      <c r="H935" s="82"/>
      <c r="I935" s="82"/>
      <c r="J935" s="82"/>
      <c r="K935" s="23">
        <v>225</v>
      </c>
      <c r="L935" s="23">
        <f>ROUND(0.342,3)</f>
        <v>0.34200000000000003</v>
      </c>
      <c r="M935" s="24">
        <f t="shared" si="43"/>
        <v>76.95</v>
      </c>
    </row>
    <row r="936" spans="1:13" ht="15.15" customHeight="1" thickBot="1" x14ac:dyDescent="0.35">
      <c r="A936" s="5" t="s">
        <v>2942</v>
      </c>
      <c r="B936" s="5" t="s">
        <v>2943</v>
      </c>
      <c r="C936" s="5" t="s">
        <v>2944</v>
      </c>
      <c r="D936" s="82" t="s">
        <v>2945</v>
      </c>
      <c r="E936" s="82"/>
      <c r="F936" s="82"/>
      <c r="G936" s="82"/>
      <c r="H936" s="82"/>
      <c r="I936" s="82"/>
      <c r="J936" s="82"/>
      <c r="K936" s="23">
        <v>5.3999999999999999E-2</v>
      </c>
      <c r="L936" s="23">
        <f>ROUND(0.99,3)</f>
        <v>0.99</v>
      </c>
      <c r="M936" s="24">
        <f t="shared" si="43"/>
        <v>0.05</v>
      </c>
    </row>
    <row r="937" spans="1:13" ht="21.3" customHeight="1" thickBot="1" x14ac:dyDescent="0.35">
      <c r="A937" s="5" t="s">
        <v>2946</v>
      </c>
      <c r="B937" s="5" t="s">
        <v>2947</v>
      </c>
      <c r="C937" s="5" t="s">
        <v>2948</v>
      </c>
      <c r="D937" s="82" t="s">
        <v>2949</v>
      </c>
      <c r="E937" s="82"/>
      <c r="F937" s="82"/>
      <c r="G937" s="82"/>
      <c r="H937" s="82"/>
      <c r="I937" s="82"/>
      <c r="J937" s="82"/>
      <c r="K937" s="23">
        <v>0.20699999999999999</v>
      </c>
      <c r="L937" s="23">
        <f>ROUND(18.161,3)</f>
        <v>18.161000000000001</v>
      </c>
      <c r="M937" s="24">
        <f t="shared" si="43"/>
        <v>3.76</v>
      </c>
    </row>
    <row r="938" spans="1:13" ht="15.15" customHeight="1" thickBot="1" x14ac:dyDescent="0.35">
      <c r="A938" s="5" t="s">
        <v>2950</v>
      </c>
      <c r="B938" s="5" t="s">
        <v>2951</v>
      </c>
      <c r="C938" s="5" t="s">
        <v>2952</v>
      </c>
      <c r="D938" s="82" t="s">
        <v>2953</v>
      </c>
      <c r="E938" s="82"/>
      <c r="F938" s="82"/>
      <c r="G938" s="82"/>
      <c r="H938" s="82"/>
      <c r="I938" s="82"/>
      <c r="J938" s="82"/>
      <c r="K938" s="23">
        <v>1</v>
      </c>
      <c r="L938" s="23">
        <f>ROUND(20.383,3)</f>
        <v>20.382999999999999</v>
      </c>
      <c r="M938" s="24">
        <f t="shared" si="43"/>
        <v>20.38</v>
      </c>
    </row>
    <row r="939" spans="1:13" ht="21.3" customHeight="1" thickBot="1" x14ac:dyDescent="0.35">
      <c r="A939" s="5" t="s">
        <v>2954</v>
      </c>
      <c r="B939" s="5" t="s">
        <v>2955</v>
      </c>
      <c r="C939" s="5" t="s">
        <v>2956</v>
      </c>
      <c r="D939" s="82" t="s">
        <v>2957</v>
      </c>
      <c r="E939" s="82"/>
      <c r="F939" s="82"/>
      <c r="G939" s="82"/>
      <c r="H939" s="82"/>
      <c r="I939" s="82"/>
      <c r="J939" s="82"/>
      <c r="K939" s="23">
        <v>9.2999999999999999E-2</v>
      </c>
      <c r="L939" s="23">
        <f>ROUND(22.369,3)</f>
        <v>22.369</v>
      </c>
      <c r="M939" s="24">
        <f t="shared" si="43"/>
        <v>2.08</v>
      </c>
    </row>
    <row r="940" spans="1:13" ht="30.6" customHeight="1" thickBot="1" x14ac:dyDescent="0.35">
      <c r="A940" s="5" t="s">
        <v>2958</v>
      </c>
      <c r="B940" s="5" t="s">
        <v>2959</v>
      </c>
      <c r="C940" s="5" t="s">
        <v>2960</v>
      </c>
      <c r="D940" s="82" t="s">
        <v>2961</v>
      </c>
      <c r="E940" s="82"/>
      <c r="F940" s="82"/>
      <c r="G940" s="82"/>
      <c r="H940" s="82"/>
      <c r="I940" s="82"/>
      <c r="J940" s="82"/>
      <c r="K940" s="23">
        <v>1</v>
      </c>
      <c r="L940" s="23">
        <f>ROUND(4.486,3)</f>
        <v>4.4859999999999998</v>
      </c>
      <c r="M940" s="24">
        <f t="shared" si="43"/>
        <v>4.49</v>
      </c>
    </row>
    <row r="941" spans="1:13" ht="15.15" customHeight="1" thickBot="1" x14ac:dyDescent="0.35">
      <c r="A941" s="5" t="s">
        <v>2962</v>
      </c>
      <c r="B941" s="5" t="s">
        <v>2963</v>
      </c>
      <c r="C941" s="5" t="s">
        <v>2964</v>
      </c>
      <c r="D941" s="82" t="s">
        <v>2965</v>
      </c>
      <c r="E941" s="82"/>
      <c r="F941" s="82"/>
      <c r="G941" s="82"/>
      <c r="H941" s="82"/>
      <c r="I941" s="82"/>
      <c r="J941" s="82"/>
      <c r="K941" s="23">
        <v>1</v>
      </c>
      <c r="L941" s="23">
        <f>ROUND(17.473,3)</f>
        <v>17.472999999999999</v>
      </c>
      <c r="M941" s="24">
        <f t="shared" si="43"/>
        <v>17.47</v>
      </c>
    </row>
    <row r="942" spans="1:13" ht="15.15" customHeight="1" thickBot="1" x14ac:dyDescent="0.35">
      <c r="A942" s="5" t="s">
        <v>2966</v>
      </c>
      <c r="B942" s="5" t="s">
        <v>2967</v>
      </c>
      <c r="C942" s="5" t="s">
        <v>2968</v>
      </c>
      <c r="D942" s="82" t="s">
        <v>2969</v>
      </c>
      <c r="E942" s="82"/>
      <c r="F942" s="82"/>
      <c r="G942" s="82"/>
      <c r="H942" s="82"/>
      <c r="I942" s="82"/>
      <c r="J942" s="82"/>
      <c r="K942" s="23">
        <v>1.458</v>
      </c>
      <c r="L942" s="23">
        <f>ROUND(3.866,3)</f>
        <v>3.8660000000000001</v>
      </c>
      <c r="M942" s="24">
        <f t="shared" si="43"/>
        <v>5.64</v>
      </c>
    </row>
    <row r="943" spans="1:13" ht="15.15" customHeight="1" thickBot="1" x14ac:dyDescent="0.35">
      <c r="A943" s="5" t="s">
        <v>2970</v>
      </c>
      <c r="B943" s="5" t="s">
        <v>2971</v>
      </c>
      <c r="C943" s="5" t="s">
        <v>2972</v>
      </c>
      <c r="D943" s="82" t="s">
        <v>2973</v>
      </c>
      <c r="E943" s="82"/>
      <c r="F943" s="82"/>
      <c r="G943" s="82"/>
      <c r="H943" s="82"/>
      <c r="I943" s="82"/>
      <c r="J943" s="82"/>
      <c r="K943" s="23">
        <v>0.25700000000000001</v>
      </c>
      <c r="L943" s="23">
        <f>ROUND(21.596,3)</f>
        <v>21.596</v>
      </c>
      <c r="M943" s="24">
        <f t="shared" si="43"/>
        <v>5.55</v>
      </c>
    </row>
    <row r="944" spans="1:13" ht="15.15" customHeight="1" thickBot="1" x14ac:dyDescent="0.35">
      <c r="A944" s="5" t="s">
        <v>2974</v>
      </c>
      <c r="B944" s="5" t="s">
        <v>2975</v>
      </c>
      <c r="C944" s="5" t="s">
        <v>2976</v>
      </c>
      <c r="D944" s="82" t="s">
        <v>2977</v>
      </c>
      <c r="E944" s="82"/>
      <c r="F944" s="82"/>
      <c r="G944" s="82"/>
      <c r="H944" s="82"/>
      <c r="I944" s="82"/>
      <c r="J944" s="82"/>
      <c r="K944" s="23">
        <v>1.073</v>
      </c>
      <c r="L944" s="23">
        <f>ROUND(30,3)</f>
        <v>30</v>
      </c>
      <c r="M944" s="24">
        <f t="shared" si="43"/>
        <v>32.19</v>
      </c>
    </row>
    <row r="945" spans="1:13" ht="15.15" customHeight="1" thickBot="1" x14ac:dyDescent="0.35">
      <c r="A945" s="5" t="s">
        <v>2978</v>
      </c>
      <c r="B945" s="5" t="s">
        <v>2979</v>
      </c>
      <c r="C945" s="5" t="s">
        <v>2980</v>
      </c>
      <c r="D945" s="82" t="s">
        <v>2981</v>
      </c>
      <c r="E945" s="82"/>
      <c r="F945" s="82"/>
      <c r="G945" s="82"/>
      <c r="H945" s="82"/>
      <c r="I945" s="82"/>
      <c r="J945" s="82"/>
      <c r="K945" s="23">
        <v>1.29</v>
      </c>
      <c r="L945" s="23">
        <f>ROUND(26,3)</f>
        <v>26</v>
      </c>
      <c r="M945" s="24">
        <f t="shared" si="43"/>
        <v>33.54</v>
      </c>
    </row>
    <row r="946" spans="1:13" ht="15.15" customHeight="1" thickBot="1" x14ac:dyDescent="0.35">
      <c r="A946" s="5" t="s">
        <v>2982</v>
      </c>
      <c r="B946" s="5"/>
      <c r="C946" s="5" t="s">
        <v>2983</v>
      </c>
      <c r="D946" s="82" t="s">
        <v>2984</v>
      </c>
      <c r="E946" s="82"/>
      <c r="F946" s="82"/>
      <c r="G946" s="82"/>
      <c r="H946" s="82"/>
      <c r="I946" s="82"/>
      <c r="J946" s="82"/>
      <c r="K946" s="23">
        <v>2</v>
      </c>
      <c r="L946" s="23">
        <f>ROUND(214.58,3)</f>
        <v>214.58</v>
      </c>
      <c r="M946" s="24">
        <f>ROUND((K946*L946)/100,2)</f>
        <v>4.29</v>
      </c>
    </row>
    <row r="947" spans="1:13" ht="15.45" customHeight="1" thickBot="1" x14ac:dyDescent="0.35">
      <c r="A947" s="37"/>
      <c r="B947" s="37"/>
      <c r="C947" s="37"/>
      <c r="D947" s="38" t="s">
        <v>2985</v>
      </c>
      <c r="E947" s="37"/>
      <c r="F947" s="37"/>
      <c r="G947" s="37"/>
      <c r="H947" s="37"/>
      <c r="I947" s="37"/>
      <c r="J947" s="37"/>
      <c r="K947" s="39">
        <v>1</v>
      </c>
      <c r="L947" s="40">
        <f>ROUND((M934+M935+M936+M937+M938+M939+M940+M941+M942+M943+M944+M945+M946)*(1+M2/100),2)</f>
        <v>225.44</v>
      </c>
      <c r="M947" s="40">
        <f t="shared" ref="M947:M960" si="44">ROUND(K947*L947,2)</f>
        <v>225.44</v>
      </c>
    </row>
    <row r="948" spans="1:13" ht="15.45" customHeight="1" thickBot="1" x14ac:dyDescent="0.35">
      <c r="A948" s="58" t="s">
        <v>2986</v>
      </c>
      <c r="B948" s="59" t="s">
        <v>2987</v>
      </c>
      <c r="C948" s="59" t="s">
        <v>2988</v>
      </c>
      <c r="D948" s="85" t="s">
        <v>2989</v>
      </c>
      <c r="E948" s="85"/>
      <c r="F948" s="85"/>
      <c r="G948" s="85"/>
      <c r="H948" s="85"/>
      <c r="I948" s="85"/>
      <c r="J948" s="85"/>
      <c r="K948" s="60">
        <f>ROUND(2,2)</f>
        <v>2</v>
      </c>
      <c r="L948" s="61">
        <f>L962</f>
        <v>311.39999999999998</v>
      </c>
      <c r="M948" s="61">
        <f t="shared" si="44"/>
        <v>622.79999999999995</v>
      </c>
    </row>
    <row r="949" spans="1:13" ht="24.3" customHeight="1" thickBot="1" x14ac:dyDescent="0.35">
      <c r="A949" s="5" t="s">
        <v>2990</v>
      </c>
      <c r="B949" s="5" t="s">
        <v>2991</v>
      </c>
      <c r="C949" s="5" t="s">
        <v>2992</v>
      </c>
      <c r="D949" s="82" t="s">
        <v>2993</v>
      </c>
      <c r="E949" s="82"/>
      <c r="F949" s="82"/>
      <c r="G949" s="82"/>
      <c r="H949" s="82"/>
      <c r="I949" s="82"/>
      <c r="J949" s="82"/>
      <c r="K949" s="23">
        <v>0.39400000000000002</v>
      </c>
      <c r="L949" s="23">
        <f>ROUND(46.906,3)</f>
        <v>46.905999999999999</v>
      </c>
      <c r="M949" s="24">
        <f t="shared" si="44"/>
        <v>18.48</v>
      </c>
    </row>
    <row r="950" spans="1:13" ht="21.3" customHeight="1" thickBot="1" x14ac:dyDescent="0.35">
      <c r="A950" s="5" t="s">
        <v>2994</v>
      </c>
      <c r="B950" s="5" t="s">
        <v>2995</v>
      </c>
      <c r="C950" s="5" t="s">
        <v>2996</v>
      </c>
      <c r="D950" s="82" t="s">
        <v>2997</v>
      </c>
      <c r="E950" s="82"/>
      <c r="F950" s="82"/>
      <c r="G950" s="82"/>
      <c r="H950" s="82"/>
      <c r="I950" s="82"/>
      <c r="J950" s="82"/>
      <c r="K950" s="23">
        <v>300</v>
      </c>
      <c r="L950" s="23">
        <f>ROUND(0.342,3)</f>
        <v>0.34200000000000003</v>
      </c>
      <c r="M950" s="24">
        <f t="shared" si="44"/>
        <v>102.6</v>
      </c>
    </row>
    <row r="951" spans="1:13" ht="15.15" customHeight="1" thickBot="1" x14ac:dyDescent="0.35">
      <c r="A951" s="5" t="s">
        <v>2998</v>
      </c>
      <c r="B951" s="5" t="s">
        <v>2999</v>
      </c>
      <c r="C951" s="5" t="s">
        <v>3000</v>
      </c>
      <c r="D951" s="82" t="s">
        <v>3001</v>
      </c>
      <c r="E951" s="82"/>
      <c r="F951" s="82"/>
      <c r="G951" s="82"/>
      <c r="H951" s="82"/>
      <c r="I951" s="82"/>
      <c r="J951" s="82"/>
      <c r="K951" s="23">
        <v>7.4999999999999997E-2</v>
      </c>
      <c r="L951" s="23">
        <f>ROUND(0.99,3)</f>
        <v>0.99</v>
      </c>
      <c r="M951" s="24">
        <f t="shared" si="44"/>
        <v>7.0000000000000007E-2</v>
      </c>
    </row>
    <row r="952" spans="1:13" ht="21.3" customHeight="1" thickBot="1" x14ac:dyDescent="0.35">
      <c r="A952" s="5" t="s">
        <v>3002</v>
      </c>
      <c r="B952" s="5" t="s">
        <v>3003</v>
      </c>
      <c r="C952" s="5" t="s">
        <v>3004</v>
      </c>
      <c r="D952" s="82" t="s">
        <v>3005</v>
      </c>
      <c r="E952" s="82"/>
      <c r="F952" s="82"/>
      <c r="G952" s="82"/>
      <c r="H952" s="82"/>
      <c r="I952" s="82"/>
      <c r="J952" s="82"/>
      <c r="K952" s="23">
        <v>0.27600000000000002</v>
      </c>
      <c r="L952" s="23">
        <f>ROUND(18.161,3)</f>
        <v>18.161000000000001</v>
      </c>
      <c r="M952" s="24">
        <f t="shared" si="44"/>
        <v>5.01</v>
      </c>
    </row>
    <row r="953" spans="1:13" ht="15.15" customHeight="1" thickBot="1" x14ac:dyDescent="0.35">
      <c r="A953" s="5" t="s">
        <v>3006</v>
      </c>
      <c r="B953" s="5" t="s">
        <v>3007</v>
      </c>
      <c r="C953" s="5" t="s">
        <v>3008</v>
      </c>
      <c r="D953" s="82" t="s">
        <v>3009</v>
      </c>
      <c r="E953" s="82"/>
      <c r="F953" s="82"/>
      <c r="G953" s="82"/>
      <c r="H953" s="82"/>
      <c r="I953" s="82"/>
      <c r="J953" s="82"/>
      <c r="K953" s="23">
        <v>1</v>
      </c>
      <c r="L953" s="23">
        <f>ROUND(20.383,3)</f>
        <v>20.382999999999999</v>
      </c>
      <c r="M953" s="24">
        <f t="shared" si="44"/>
        <v>20.38</v>
      </c>
    </row>
    <row r="954" spans="1:13" ht="21.3" customHeight="1" thickBot="1" x14ac:dyDescent="0.35">
      <c r="A954" s="5" t="s">
        <v>3010</v>
      </c>
      <c r="B954" s="5" t="s">
        <v>3011</v>
      </c>
      <c r="C954" s="5" t="s">
        <v>3012</v>
      </c>
      <c r="D954" s="82" t="s">
        <v>3013</v>
      </c>
      <c r="E954" s="82"/>
      <c r="F954" s="82"/>
      <c r="G954" s="82"/>
      <c r="H954" s="82"/>
      <c r="I954" s="82"/>
      <c r="J954" s="82"/>
      <c r="K954" s="23">
        <v>0.14099999999999999</v>
      </c>
      <c r="L954" s="23">
        <f>ROUND(22.369,3)</f>
        <v>22.369</v>
      </c>
      <c r="M954" s="24">
        <f t="shared" si="44"/>
        <v>3.15</v>
      </c>
    </row>
    <row r="955" spans="1:13" ht="30.6" customHeight="1" thickBot="1" x14ac:dyDescent="0.35">
      <c r="A955" s="5" t="s">
        <v>3014</v>
      </c>
      <c r="B955" s="5" t="s">
        <v>3015</v>
      </c>
      <c r="C955" s="5" t="s">
        <v>3016</v>
      </c>
      <c r="D955" s="82" t="s">
        <v>3017</v>
      </c>
      <c r="E955" s="82"/>
      <c r="F955" s="82"/>
      <c r="G955" s="82"/>
      <c r="H955" s="82"/>
      <c r="I955" s="82"/>
      <c r="J955" s="82"/>
      <c r="K955" s="23">
        <v>1</v>
      </c>
      <c r="L955" s="23">
        <f>ROUND(4.486,3)</f>
        <v>4.4859999999999998</v>
      </c>
      <c r="M955" s="24">
        <f t="shared" si="44"/>
        <v>4.49</v>
      </c>
    </row>
    <row r="956" spans="1:13" ht="15.15" customHeight="1" thickBot="1" x14ac:dyDescent="0.35">
      <c r="A956" s="5" t="s">
        <v>3018</v>
      </c>
      <c r="B956" s="5" t="s">
        <v>3019</v>
      </c>
      <c r="C956" s="5" t="s">
        <v>3020</v>
      </c>
      <c r="D956" s="82" t="s">
        <v>3021</v>
      </c>
      <c r="E956" s="82"/>
      <c r="F956" s="82"/>
      <c r="G956" s="82"/>
      <c r="H956" s="82"/>
      <c r="I956" s="82"/>
      <c r="J956" s="82"/>
      <c r="K956" s="23">
        <v>1</v>
      </c>
      <c r="L956" s="23">
        <f>ROUND(53.425,3)</f>
        <v>53.424999999999997</v>
      </c>
      <c r="M956" s="24">
        <f t="shared" si="44"/>
        <v>53.43</v>
      </c>
    </row>
    <row r="957" spans="1:13" ht="15.15" customHeight="1" thickBot="1" x14ac:dyDescent="0.35">
      <c r="A957" s="5" t="s">
        <v>3022</v>
      </c>
      <c r="B957" s="5" t="s">
        <v>3023</v>
      </c>
      <c r="C957" s="5" t="s">
        <v>3024</v>
      </c>
      <c r="D957" s="82" t="s">
        <v>3025</v>
      </c>
      <c r="E957" s="82"/>
      <c r="F957" s="82"/>
      <c r="G957" s="82"/>
      <c r="H957" s="82"/>
      <c r="I957" s="82"/>
      <c r="J957" s="82"/>
      <c r="K957" s="23">
        <v>1.845</v>
      </c>
      <c r="L957" s="23">
        <f>ROUND(3.866,3)</f>
        <v>3.8660000000000001</v>
      </c>
      <c r="M957" s="24">
        <f t="shared" si="44"/>
        <v>7.13</v>
      </c>
    </row>
    <row r="958" spans="1:13" ht="15.15" customHeight="1" thickBot="1" x14ac:dyDescent="0.35">
      <c r="A958" s="5" t="s">
        <v>3026</v>
      </c>
      <c r="B958" s="5" t="s">
        <v>3027</v>
      </c>
      <c r="C958" s="5" t="s">
        <v>3028</v>
      </c>
      <c r="D958" s="82" t="s">
        <v>3029</v>
      </c>
      <c r="E958" s="82"/>
      <c r="F958" s="82"/>
      <c r="G958" s="82"/>
      <c r="H958" s="82"/>
      <c r="I958" s="82"/>
      <c r="J958" s="82"/>
      <c r="K958" s="23">
        <v>0.39200000000000002</v>
      </c>
      <c r="L958" s="23">
        <f>ROUND(21.596,3)</f>
        <v>21.596</v>
      </c>
      <c r="M958" s="24">
        <f t="shared" si="44"/>
        <v>8.4700000000000006</v>
      </c>
    </row>
    <row r="959" spans="1:13" ht="15.15" customHeight="1" thickBot="1" x14ac:dyDescent="0.35">
      <c r="A959" s="5" t="s">
        <v>3030</v>
      </c>
      <c r="B959" s="5" t="s">
        <v>3031</v>
      </c>
      <c r="C959" s="5" t="s">
        <v>3032</v>
      </c>
      <c r="D959" s="82" t="s">
        <v>3033</v>
      </c>
      <c r="E959" s="82"/>
      <c r="F959" s="82"/>
      <c r="G959" s="82"/>
      <c r="H959" s="82"/>
      <c r="I959" s="82"/>
      <c r="J959" s="82"/>
      <c r="K959" s="23">
        <v>1.1120000000000001</v>
      </c>
      <c r="L959" s="23">
        <f>ROUND(30,3)</f>
        <v>30</v>
      </c>
      <c r="M959" s="24">
        <f t="shared" si="44"/>
        <v>33.36</v>
      </c>
    </row>
    <row r="960" spans="1:13" ht="15.15" customHeight="1" thickBot="1" x14ac:dyDescent="0.35">
      <c r="A960" s="5" t="s">
        <v>3034</v>
      </c>
      <c r="B960" s="5" t="s">
        <v>3035</v>
      </c>
      <c r="C960" s="5" t="s">
        <v>3036</v>
      </c>
      <c r="D960" s="82" t="s">
        <v>3037</v>
      </c>
      <c r="E960" s="82"/>
      <c r="F960" s="82"/>
      <c r="G960" s="82"/>
      <c r="H960" s="82"/>
      <c r="I960" s="82"/>
      <c r="J960" s="82"/>
      <c r="K960" s="23">
        <v>1.532</v>
      </c>
      <c r="L960" s="23">
        <f>ROUND(26,3)</f>
        <v>26</v>
      </c>
      <c r="M960" s="24">
        <f t="shared" si="44"/>
        <v>39.83</v>
      </c>
    </row>
    <row r="961" spans="1:13" ht="15.15" customHeight="1" thickBot="1" x14ac:dyDescent="0.35">
      <c r="A961" s="5" t="s">
        <v>3038</v>
      </c>
      <c r="B961" s="5"/>
      <c r="C961" s="5" t="s">
        <v>3039</v>
      </c>
      <c r="D961" s="82" t="s">
        <v>3040</v>
      </c>
      <c r="E961" s="82"/>
      <c r="F961" s="82"/>
      <c r="G961" s="82"/>
      <c r="H961" s="82"/>
      <c r="I961" s="82"/>
      <c r="J961" s="82"/>
      <c r="K961" s="23">
        <v>2</v>
      </c>
      <c r="L961" s="23">
        <f>ROUND(296.4,3)</f>
        <v>296.39999999999998</v>
      </c>
      <c r="M961" s="24">
        <f>ROUND((K961*L961)/100,2)</f>
        <v>5.93</v>
      </c>
    </row>
    <row r="962" spans="1:13" ht="15.45" customHeight="1" thickBot="1" x14ac:dyDescent="0.35">
      <c r="A962" s="37"/>
      <c r="B962" s="37"/>
      <c r="C962" s="37"/>
      <c r="D962" s="38" t="s">
        <v>3041</v>
      </c>
      <c r="E962" s="37"/>
      <c r="F962" s="37"/>
      <c r="G962" s="37"/>
      <c r="H962" s="37"/>
      <c r="I962" s="37"/>
      <c r="J962" s="37"/>
      <c r="K962" s="39">
        <v>2</v>
      </c>
      <c r="L962" s="40">
        <f>ROUND((M949+M950+M951+M952+M953+M954+M955+M956+M957+M958+M959+M960+M961)*(1+M2/100),2)</f>
        <v>311.39999999999998</v>
      </c>
      <c r="M962" s="40">
        <f>ROUND(K962*L962,2)</f>
        <v>622.79999999999995</v>
      </c>
    </row>
    <row r="963" spans="1:13" ht="15.45" customHeight="1" thickBot="1" x14ac:dyDescent="0.35">
      <c r="A963" s="58" t="s">
        <v>3042</v>
      </c>
      <c r="B963" s="59" t="s">
        <v>3043</v>
      </c>
      <c r="C963" s="59" t="s">
        <v>3044</v>
      </c>
      <c r="D963" s="85" t="s">
        <v>3045</v>
      </c>
      <c r="E963" s="85"/>
      <c r="F963" s="85"/>
      <c r="G963" s="85"/>
      <c r="H963" s="85"/>
      <c r="I963" s="85"/>
      <c r="J963" s="85"/>
      <c r="K963" s="60">
        <f>ROUND(1,2)</f>
        <v>1</v>
      </c>
      <c r="L963" s="61">
        <f>L967</f>
        <v>87.28</v>
      </c>
      <c r="M963" s="61">
        <f>ROUND(K963*L963,2)</f>
        <v>87.28</v>
      </c>
    </row>
    <row r="964" spans="1:13" ht="15.15" customHeight="1" thickBot="1" x14ac:dyDescent="0.35">
      <c r="A964" s="5" t="s">
        <v>3046</v>
      </c>
      <c r="B964" s="5" t="s">
        <v>3047</v>
      </c>
      <c r="C964" s="5" t="s">
        <v>3048</v>
      </c>
      <c r="D964" s="82" t="s">
        <v>3049</v>
      </c>
      <c r="E964" s="82"/>
      <c r="F964" s="82"/>
      <c r="G964" s="82"/>
      <c r="H964" s="82"/>
      <c r="I964" s="82"/>
      <c r="J964" s="82"/>
      <c r="K964" s="23">
        <v>1</v>
      </c>
      <c r="L964" s="23">
        <f>ROUND(74.736,3)</f>
        <v>74.736000000000004</v>
      </c>
      <c r="M964" s="24">
        <f>ROUND(K964*L964,2)</f>
        <v>74.739999999999995</v>
      </c>
    </row>
    <row r="965" spans="1:13" ht="15.15" customHeight="1" thickBot="1" x14ac:dyDescent="0.35">
      <c r="A965" s="5" t="s">
        <v>3050</v>
      </c>
      <c r="B965" s="5" t="s">
        <v>3051</v>
      </c>
      <c r="C965" s="5" t="s">
        <v>3052</v>
      </c>
      <c r="D965" s="82" t="s">
        <v>3053</v>
      </c>
      <c r="E965" s="82"/>
      <c r="F965" s="82"/>
      <c r="G965" s="82"/>
      <c r="H965" s="82"/>
      <c r="I965" s="82"/>
      <c r="J965" s="82"/>
      <c r="K965" s="23">
        <v>0.27800000000000002</v>
      </c>
      <c r="L965" s="23">
        <f>ROUND(30,3)</f>
        <v>30</v>
      </c>
      <c r="M965" s="24">
        <f>ROUND(K965*L965,2)</f>
        <v>8.34</v>
      </c>
    </row>
    <row r="966" spans="1:13" ht="15.15" customHeight="1" thickBot="1" x14ac:dyDescent="0.35">
      <c r="A966" s="5" t="s">
        <v>3054</v>
      </c>
      <c r="B966" s="5"/>
      <c r="C966" s="5" t="s">
        <v>3055</v>
      </c>
      <c r="D966" s="82" t="s">
        <v>3056</v>
      </c>
      <c r="E966" s="82"/>
      <c r="F966" s="82"/>
      <c r="G966" s="82"/>
      <c r="H966" s="82"/>
      <c r="I966" s="82"/>
      <c r="J966" s="82"/>
      <c r="K966" s="23">
        <v>2</v>
      </c>
      <c r="L966" s="23">
        <f>ROUND(83.08,3)</f>
        <v>83.08</v>
      </c>
      <c r="M966" s="24">
        <f>ROUND((K966*L966)/100,2)</f>
        <v>1.66</v>
      </c>
    </row>
    <row r="967" spans="1:13" ht="15.45" customHeight="1" thickBot="1" x14ac:dyDescent="0.35">
      <c r="A967" s="37"/>
      <c r="B967" s="37"/>
      <c r="C967" s="37"/>
      <c r="D967" s="38" t="s">
        <v>3057</v>
      </c>
      <c r="E967" s="37"/>
      <c r="F967" s="37"/>
      <c r="G967" s="37"/>
      <c r="H967" s="37"/>
      <c r="I967" s="37"/>
      <c r="J967" s="37"/>
      <c r="K967" s="39">
        <v>1</v>
      </c>
      <c r="L967" s="40">
        <f>ROUND((M964+M965+M966)*(1+M2/100),2)</f>
        <v>87.28</v>
      </c>
      <c r="M967" s="40">
        <f>ROUND(K967*L967,2)</f>
        <v>87.28</v>
      </c>
    </row>
    <row r="968" spans="1:13" ht="15.45" customHeight="1" thickBot="1" x14ac:dyDescent="0.35">
      <c r="A968" s="58" t="s">
        <v>3058</v>
      </c>
      <c r="B968" s="59" t="s">
        <v>3059</v>
      </c>
      <c r="C968" s="59" t="s">
        <v>3060</v>
      </c>
      <c r="D968" s="85" t="s">
        <v>3061</v>
      </c>
      <c r="E968" s="85"/>
      <c r="F968" s="85"/>
      <c r="G968" s="85"/>
      <c r="H968" s="85"/>
      <c r="I968" s="85"/>
      <c r="J968" s="85"/>
      <c r="K968" s="60">
        <f>ROUND(1,2)</f>
        <v>1</v>
      </c>
      <c r="L968" s="61">
        <f>L972</f>
        <v>143.88999999999999</v>
      </c>
      <c r="M968" s="61">
        <f>ROUND(K968*L968,2)</f>
        <v>143.88999999999999</v>
      </c>
    </row>
    <row r="969" spans="1:13" ht="15.15" customHeight="1" thickBot="1" x14ac:dyDescent="0.35">
      <c r="A969" s="5" t="s">
        <v>3062</v>
      </c>
      <c r="B969" s="5" t="s">
        <v>3063</v>
      </c>
      <c r="C969" s="5" t="s">
        <v>3064</v>
      </c>
      <c r="D969" s="82" t="s">
        <v>3065</v>
      </c>
      <c r="E969" s="82"/>
      <c r="F969" s="82"/>
      <c r="G969" s="82"/>
      <c r="H969" s="82"/>
      <c r="I969" s="82"/>
      <c r="J969" s="82"/>
      <c r="K969" s="23">
        <v>1</v>
      </c>
      <c r="L969" s="23">
        <f>ROUND(127.778,3)</f>
        <v>127.77800000000001</v>
      </c>
      <c r="M969" s="24">
        <f>ROUND(K969*L969,2)</f>
        <v>127.78</v>
      </c>
    </row>
    <row r="970" spans="1:13" ht="15.15" customHeight="1" thickBot="1" x14ac:dyDescent="0.35">
      <c r="A970" s="5" t="s">
        <v>3066</v>
      </c>
      <c r="B970" s="5" t="s">
        <v>3067</v>
      </c>
      <c r="C970" s="5" t="s">
        <v>3068</v>
      </c>
      <c r="D970" s="82" t="s">
        <v>3069</v>
      </c>
      <c r="E970" s="82"/>
      <c r="F970" s="82"/>
      <c r="G970" s="82"/>
      <c r="H970" s="82"/>
      <c r="I970" s="82"/>
      <c r="J970" s="82"/>
      <c r="K970" s="23">
        <v>0.30599999999999999</v>
      </c>
      <c r="L970" s="23">
        <f>ROUND(30,3)</f>
        <v>30</v>
      </c>
      <c r="M970" s="24">
        <f>ROUND(K970*L970,2)</f>
        <v>9.18</v>
      </c>
    </row>
    <row r="971" spans="1:13" ht="15.15" customHeight="1" thickBot="1" x14ac:dyDescent="0.35">
      <c r="A971" s="5" t="s">
        <v>3070</v>
      </c>
      <c r="B971" s="5"/>
      <c r="C971" s="5" t="s">
        <v>3071</v>
      </c>
      <c r="D971" s="82" t="s">
        <v>3072</v>
      </c>
      <c r="E971" s="82"/>
      <c r="F971" s="82"/>
      <c r="G971" s="82"/>
      <c r="H971" s="82"/>
      <c r="I971" s="82"/>
      <c r="J971" s="82"/>
      <c r="K971" s="23">
        <v>2</v>
      </c>
      <c r="L971" s="23">
        <f>ROUND(136.96,3)</f>
        <v>136.96</v>
      </c>
      <c r="M971" s="24">
        <f>ROUND((K971*L971)/100,2)</f>
        <v>2.74</v>
      </c>
    </row>
    <row r="972" spans="1:13" ht="15.45" customHeight="1" thickBot="1" x14ac:dyDescent="0.35">
      <c r="A972" s="37"/>
      <c r="B972" s="37"/>
      <c r="C972" s="37"/>
      <c r="D972" s="38" t="s">
        <v>3073</v>
      </c>
      <c r="E972" s="37"/>
      <c r="F972" s="37"/>
      <c r="G972" s="37"/>
      <c r="H972" s="37"/>
      <c r="I972" s="37"/>
      <c r="J972" s="37"/>
      <c r="K972" s="39">
        <v>1</v>
      </c>
      <c r="L972" s="40">
        <f>ROUND((M969+M970+M971)*(1+M2/100),2)</f>
        <v>143.88999999999999</v>
      </c>
      <c r="M972" s="40">
        <f>ROUND(K972*L972,2)</f>
        <v>143.88999999999999</v>
      </c>
    </row>
    <row r="973" spans="1:13" ht="30.6" customHeight="1" thickBot="1" x14ac:dyDescent="0.35">
      <c r="A973" s="58" t="s">
        <v>3074</v>
      </c>
      <c r="B973" s="59" t="s">
        <v>3075</v>
      </c>
      <c r="C973" s="59" t="s">
        <v>3076</v>
      </c>
      <c r="D973" s="85" t="s">
        <v>3077</v>
      </c>
      <c r="E973" s="85"/>
      <c r="F973" s="85"/>
      <c r="G973" s="85"/>
      <c r="H973" s="85"/>
      <c r="I973" s="85"/>
      <c r="J973" s="85"/>
      <c r="K973" s="60">
        <f>ROUND(1,2)</f>
        <v>1</v>
      </c>
      <c r="L973" s="61">
        <f>ROUND(1815.245*(1+M2/100),2)</f>
        <v>1869.7</v>
      </c>
      <c r="M973" s="61">
        <f>ROUND(K973*L973,2)</f>
        <v>1869.7</v>
      </c>
    </row>
    <row r="974" spans="1:13" ht="15.45" customHeight="1" thickBot="1" x14ac:dyDescent="0.35">
      <c r="A974" s="37"/>
      <c r="B974" s="37"/>
      <c r="C974" s="37"/>
      <c r="D974" s="68" t="s">
        <v>3078</v>
      </c>
      <c r="E974" s="69"/>
      <c r="F974" s="69"/>
      <c r="G974" s="69"/>
      <c r="H974" s="69"/>
      <c r="I974" s="69"/>
      <c r="J974" s="69"/>
      <c r="K974" s="69"/>
      <c r="L974" s="70">
        <f>M852+M863+M888+M906+M924+M933+M948+M963+M968+M973</f>
        <v>6446.9299999999994</v>
      </c>
      <c r="M974" s="70">
        <f>ROUND(L974,2)</f>
        <v>6446.93</v>
      </c>
    </row>
    <row r="975" spans="1:13" ht="15.45" customHeight="1" thickBot="1" x14ac:dyDescent="0.35">
      <c r="A975" s="62" t="s">
        <v>3079</v>
      </c>
      <c r="B975" s="62" t="s">
        <v>3080</v>
      </c>
      <c r="C975" s="63"/>
      <c r="D975" s="86" t="s">
        <v>3081</v>
      </c>
      <c r="E975" s="86"/>
      <c r="F975" s="86"/>
      <c r="G975" s="86"/>
      <c r="H975" s="86"/>
      <c r="I975" s="86"/>
      <c r="J975" s="86"/>
      <c r="K975" s="63"/>
      <c r="L975" s="64">
        <f>L1052</f>
        <v>1371.08</v>
      </c>
      <c r="M975" s="64">
        <f>ROUND(L975,2)</f>
        <v>1371.08</v>
      </c>
    </row>
    <row r="976" spans="1:13" ht="15.45" customHeight="1" thickBot="1" x14ac:dyDescent="0.35">
      <c r="A976" s="20" t="s">
        <v>3082</v>
      </c>
      <c r="B976" s="20" t="s">
        <v>3083</v>
      </c>
      <c r="C976" s="21"/>
      <c r="D976" s="81" t="s">
        <v>3084</v>
      </c>
      <c r="E976" s="81"/>
      <c r="F976" s="81"/>
      <c r="G976" s="81"/>
      <c r="H976" s="81"/>
      <c r="I976" s="81"/>
      <c r="J976" s="81"/>
      <c r="K976" s="21"/>
      <c r="L976" s="22">
        <f>L989</f>
        <v>201.33</v>
      </c>
      <c r="M976" s="22">
        <f>ROUND(L976,2)</f>
        <v>201.33</v>
      </c>
    </row>
    <row r="977" spans="1:13" ht="15.45" customHeight="1" thickBot="1" x14ac:dyDescent="0.35">
      <c r="A977" s="10" t="s">
        <v>3085</v>
      </c>
      <c r="B977" s="5" t="s">
        <v>3086</v>
      </c>
      <c r="C977" s="5" t="s">
        <v>3087</v>
      </c>
      <c r="D977" s="82" t="s">
        <v>3088</v>
      </c>
      <c r="E977" s="82"/>
      <c r="F977" s="82"/>
      <c r="G977" s="82"/>
      <c r="H977" s="82"/>
      <c r="I977" s="82"/>
      <c r="J977" s="82"/>
      <c r="K977" s="23">
        <f>ROUND(7,2)</f>
        <v>7</v>
      </c>
      <c r="L977" s="24">
        <f>L982</f>
        <v>23.24</v>
      </c>
      <c r="M977" s="24">
        <f t="shared" ref="M977:M988" si="45">ROUND(K977*L977,2)</f>
        <v>162.68</v>
      </c>
    </row>
    <row r="978" spans="1:13" ht="15.15" customHeight="1" thickBot="1" x14ac:dyDescent="0.35">
      <c r="A978" s="5" t="s">
        <v>3089</v>
      </c>
      <c r="B978" s="5" t="s">
        <v>3090</v>
      </c>
      <c r="C978" s="5" t="s">
        <v>3091</v>
      </c>
      <c r="D978" s="82" t="s">
        <v>3092</v>
      </c>
      <c r="E978" s="82"/>
      <c r="F978" s="82"/>
      <c r="G978" s="82"/>
      <c r="H978" s="82"/>
      <c r="I978" s="82"/>
      <c r="J978" s="82"/>
      <c r="K978" s="23">
        <v>0.104</v>
      </c>
      <c r="L978" s="23">
        <f>ROUND(30,3)</f>
        <v>30</v>
      </c>
      <c r="M978" s="24">
        <f t="shared" si="45"/>
        <v>3.12</v>
      </c>
    </row>
    <row r="979" spans="1:13" ht="15.15" customHeight="1" thickBot="1" x14ac:dyDescent="0.35">
      <c r="A979" s="5" t="s">
        <v>3093</v>
      </c>
      <c r="B979" s="5" t="s">
        <v>3094</v>
      </c>
      <c r="C979" s="5" t="s">
        <v>3095</v>
      </c>
      <c r="D979" s="82" t="s">
        <v>3096</v>
      </c>
      <c r="E979" s="82"/>
      <c r="F979" s="82"/>
      <c r="G979" s="82"/>
      <c r="H979" s="82"/>
      <c r="I979" s="82"/>
      <c r="J979" s="82"/>
      <c r="K979" s="23">
        <v>0.104</v>
      </c>
      <c r="L979" s="23">
        <f>ROUND(26,3)</f>
        <v>26</v>
      </c>
      <c r="M979" s="24">
        <f t="shared" si="45"/>
        <v>2.7</v>
      </c>
    </row>
    <row r="980" spans="1:13" ht="15.15" customHeight="1" thickBot="1" x14ac:dyDescent="0.35">
      <c r="A980" s="5" t="s">
        <v>3097</v>
      </c>
      <c r="B980" s="5" t="s">
        <v>3098</v>
      </c>
      <c r="C980" s="5" t="s">
        <v>3099</v>
      </c>
      <c r="D980" s="82" t="s">
        <v>3100</v>
      </c>
      <c r="E980" s="82"/>
      <c r="F980" s="82"/>
      <c r="G980" s="82"/>
      <c r="H980" s="82"/>
      <c r="I980" s="82"/>
      <c r="J980" s="82"/>
      <c r="K980" s="23">
        <v>1</v>
      </c>
      <c r="L980" s="23">
        <f>ROUND(16.597,3)</f>
        <v>16.597000000000001</v>
      </c>
      <c r="M980" s="24">
        <f t="shared" si="45"/>
        <v>16.600000000000001</v>
      </c>
    </row>
    <row r="981" spans="1:13" ht="15.15" customHeight="1" thickBot="1" x14ac:dyDescent="0.35">
      <c r="A981" s="5" t="s">
        <v>3101</v>
      </c>
      <c r="B981" s="5" t="s">
        <v>3102</v>
      </c>
      <c r="C981" s="5" t="s">
        <v>3103</v>
      </c>
      <c r="D981" s="82" t="s">
        <v>3104</v>
      </c>
      <c r="E981" s="82"/>
      <c r="F981" s="82"/>
      <c r="G981" s="82"/>
      <c r="H981" s="82"/>
      <c r="I981" s="82"/>
      <c r="J981" s="82"/>
      <c r="K981" s="23">
        <v>1</v>
      </c>
      <c r="L981" s="23">
        <f>ROUND(0.135,3)</f>
        <v>0.13500000000000001</v>
      </c>
      <c r="M981" s="24">
        <f t="shared" si="45"/>
        <v>0.14000000000000001</v>
      </c>
    </row>
    <row r="982" spans="1:13" ht="15.45" customHeight="1" thickBot="1" x14ac:dyDescent="0.35">
      <c r="A982" s="37"/>
      <c r="B982" s="37"/>
      <c r="C982" s="37"/>
      <c r="D982" s="38" t="s">
        <v>3105</v>
      </c>
      <c r="E982" s="37"/>
      <c r="F982" s="37"/>
      <c r="G982" s="37"/>
      <c r="H982" s="37"/>
      <c r="I982" s="37"/>
      <c r="J982" s="37"/>
      <c r="K982" s="39">
        <v>7</v>
      </c>
      <c r="L982" s="40">
        <f>ROUND((M978+M979+M980+M981)*(1+M2/100),2)</f>
        <v>23.24</v>
      </c>
      <c r="M982" s="40">
        <f t="shared" si="45"/>
        <v>162.68</v>
      </c>
    </row>
    <row r="983" spans="1:13" ht="15.45" customHeight="1" thickBot="1" x14ac:dyDescent="0.35">
      <c r="A983" s="58" t="s">
        <v>3106</v>
      </c>
      <c r="B983" s="59" t="s">
        <v>3107</v>
      </c>
      <c r="C983" s="59" t="s">
        <v>3108</v>
      </c>
      <c r="D983" s="85" t="s">
        <v>3109</v>
      </c>
      <c r="E983" s="85"/>
      <c r="F983" s="85"/>
      <c r="G983" s="85"/>
      <c r="H983" s="85"/>
      <c r="I983" s="85"/>
      <c r="J983" s="85"/>
      <c r="K983" s="60">
        <f>ROUND(1,2)</f>
        <v>1</v>
      </c>
      <c r="L983" s="61">
        <f>L988</f>
        <v>38.65</v>
      </c>
      <c r="M983" s="61">
        <f t="shared" si="45"/>
        <v>38.65</v>
      </c>
    </row>
    <row r="984" spans="1:13" ht="15.15" customHeight="1" thickBot="1" x14ac:dyDescent="0.35">
      <c r="A984" s="5" t="s">
        <v>3110</v>
      </c>
      <c r="B984" s="5" t="s">
        <v>3111</v>
      </c>
      <c r="C984" s="5" t="s">
        <v>3112</v>
      </c>
      <c r="D984" s="82" t="s">
        <v>3113</v>
      </c>
      <c r="E984" s="82"/>
      <c r="F984" s="82"/>
      <c r="G984" s="82"/>
      <c r="H984" s="82"/>
      <c r="I984" s="82"/>
      <c r="J984" s="82"/>
      <c r="K984" s="23">
        <v>0.105</v>
      </c>
      <c r="L984" s="23">
        <f>ROUND(30,3)</f>
        <v>30</v>
      </c>
      <c r="M984" s="24">
        <f t="shared" si="45"/>
        <v>3.15</v>
      </c>
    </row>
    <row r="985" spans="1:13" ht="15.15" customHeight="1" thickBot="1" x14ac:dyDescent="0.35">
      <c r="A985" s="5" t="s">
        <v>3114</v>
      </c>
      <c r="B985" s="5" t="s">
        <v>3115</v>
      </c>
      <c r="C985" s="5" t="s">
        <v>3116</v>
      </c>
      <c r="D985" s="82" t="s">
        <v>3117</v>
      </c>
      <c r="E985" s="82"/>
      <c r="F985" s="82"/>
      <c r="G985" s="82"/>
      <c r="H985" s="82"/>
      <c r="I985" s="82"/>
      <c r="J985" s="82"/>
      <c r="K985" s="23">
        <v>0.105</v>
      </c>
      <c r="L985" s="23">
        <f>ROUND(26,3)</f>
        <v>26</v>
      </c>
      <c r="M985" s="24">
        <f t="shared" si="45"/>
        <v>2.73</v>
      </c>
    </row>
    <row r="986" spans="1:13" ht="15.15" customHeight="1" thickBot="1" x14ac:dyDescent="0.35">
      <c r="A986" s="5" t="s">
        <v>3118</v>
      </c>
      <c r="B986" s="5" t="s">
        <v>3119</v>
      </c>
      <c r="C986" s="5" t="s">
        <v>3120</v>
      </c>
      <c r="D986" s="82" t="s">
        <v>3121</v>
      </c>
      <c r="E986" s="82"/>
      <c r="F986" s="82"/>
      <c r="G986" s="82"/>
      <c r="H986" s="82"/>
      <c r="I986" s="82"/>
      <c r="J986" s="82"/>
      <c r="K986" s="23">
        <v>1</v>
      </c>
      <c r="L986" s="23">
        <f>ROUND(31.497,3)</f>
        <v>31.497</v>
      </c>
      <c r="M986" s="24">
        <f t="shared" si="45"/>
        <v>31.5</v>
      </c>
    </row>
    <row r="987" spans="1:13" ht="15.15" customHeight="1" thickBot="1" x14ac:dyDescent="0.35">
      <c r="A987" s="5" t="s">
        <v>3122</v>
      </c>
      <c r="B987" s="5" t="s">
        <v>3123</v>
      </c>
      <c r="C987" s="5" t="s">
        <v>3124</v>
      </c>
      <c r="D987" s="82" t="s">
        <v>3125</v>
      </c>
      <c r="E987" s="82"/>
      <c r="F987" s="82"/>
      <c r="G987" s="82"/>
      <c r="H987" s="82"/>
      <c r="I987" s="82"/>
      <c r="J987" s="82"/>
      <c r="K987" s="23">
        <v>1</v>
      </c>
      <c r="L987" s="23">
        <f>ROUND(0.135,3)</f>
        <v>0.13500000000000001</v>
      </c>
      <c r="M987" s="24">
        <f t="shared" si="45"/>
        <v>0.14000000000000001</v>
      </c>
    </row>
    <row r="988" spans="1:13" ht="15.45" customHeight="1" thickBot="1" x14ac:dyDescent="0.35">
      <c r="A988" s="37"/>
      <c r="B988" s="37"/>
      <c r="C988" s="37"/>
      <c r="D988" s="38" t="s">
        <v>3126</v>
      </c>
      <c r="E988" s="37"/>
      <c r="F988" s="37"/>
      <c r="G988" s="37"/>
      <c r="H988" s="37"/>
      <c r="I988" s="37"/>
      <c r="J988" s="37"/>
      <c r="K988" s="39">
        <v>1</v>
      </c>
      <c r="L988" s="40">
        <f>ROUND((M984+M985+M986+M987)*(1+M2/100),2)</f>
        <v>38.65</v>
      </c>
      <c r="M988" s="40">
        <f t="shared" si="45"/>
        <v>38.65</v>
      </c>
    </row>
    <row r="989" spans="1:13" ht="15.45" customHeight="1" thickBot="1" x14ac:dyDescent="0.35">
      <c r="A989" s="41"/>
      <c r="B989" s="41"/>
      <c r="C989" s="41"/>
      <c r="D989" s="42" t="s">
        <v>3127</v>
      </c>
      <c r="E989" s="43"/>
      <c r="F989" s="43"/>
      <c r="G989" s="43"/>
      <c r="H989" s="43"/>
      <c r="I989" s="43"/>
      <c r="J989" s="43"/>
      <c r="K989" s="43"/>
      <c r="L989" s="44">
        <f>M977+M983</f>
        <v>201.33</v>
      </c>
      <c r="M989" s="44">
        <f>ROUND(L989,2)</f>
        <v>201.33</v>
      </c>
    </row>
    <row r="990" spans="1:13" ht="15.45" customHeight="1" thickBot="1" x14ac:dyDescent="0.35">
      <c r="A990" s="54" t="s">
        <v>3128</v>
      </c>
      <c r="B990" s="54" t="s">
        <v>3129</v>
      </c>
      <c r="C990" s="55"/>
      <c r="D990" s="84" t="s">
        <v>3130</v>
      </c>
      <c r="E990" s="84"/>
      <c r="F990" s="84"/>
      <c r="G990" s="84"/>
      <c r="H990" s="84"/>
      <c r="I990" s="84"/>
      <c r="J990" s="84"/>
      <c r="K990" s="55"/>
      <c r="L990" s="56">
        <f>L1039</f>
        <v>1088.47</v>
      </c>
      <c r="M990" s="56">
        <f>ROUND(L990,2)</f>
        <v>1088.47</v>
      </c>
    </row>
    <row r="991" spans="1:13" ht="15.45" customHeight="1" thickBot="1" x14ac:dyDescent="0.35">
      <c r="A991" s="10" t="s">
        <v>3131</v>
      </c>
      <c r="B991" s="5" t="s">
        <v>3132</v>
      </c>
      <c r="C991" s="5" t="s">
        <v>3133</v>
      </c>
      <c r="D991" s="82" t="s">
        <v>3134</v>
      </c>
      <c r="E991" s="82"/>
      <c r="F991" s="82"/>
      <c r="G991" s="82"/>
      <c r="H991" s="82"/>
      <c r="I991" s="82"/>
      <c r="J991" s="82"/>
      <c r="K991" s="23">
        <f>ROUND(1,2)</f>
        <v>1</v>
      </c>
      <c r="L991" s="24">
        <f>L997</f>
        <v>152.93</v>
      </c>
      <c r="M991" s="24">
        <f>ROUND(K991*L991,2)</f>
        <v>152.93</v>
      </c>
    </row>
    <row r="992" spans="1:13" ht="30.6" customHeight="1" thickBot="1" x14ac:dyDescent="0.35">
      <c r="A992" s="5" t="s">
        <v>3135</v>
      </c>
      <c r="B992" s="5" t="s">
        <v>3136</v>
      </c>
      <c r="C992" s="5" t="s">
        <v>3137</v>
      </c>
      <c r="D992" s="82" t="s">
        <v>3138</v>
      </c>
      <c r="E992" s="82"/>
      <c r="F992" s="82"/>
      <c r="G992" s="82"/>
      <c r="H992" s="82"/>
      <c r="I992" s="82"/>
      <c r="J992" s="82"/>
      <c r="K992" s="23">
        <v>1</v>
      </c>
      <c r="L992" s="23">
        <f>ROUND(107.099,3)</f>
        <v>107.099</v>
      </c>
      <c r="M992" s="24">
        <f>ROUND(K992*L992,2)</f>
        <v>107.1</v>
      </c>
    </row>
    <row r="993" spans="1:13" ht="15.15" customHeight="1" thickBot="1" x14ac:dyDescent="0.35">
      <c r="A993" s="5" t="s">
        <v>3139</v>
      </c>
      <c r="B993" s="5" t="s">
        <v>3140</v>
      </c>
      <c r="C993" s="5" t="s">
        <v>3141</v>
      </c>
      <c r="D993" s="82" t="s">
        <v>3142</v>
      </c>
      <c r="E993" s="82"/>
      <c r="F993" s="82"/>
      <c r="G993" s="82"/>
      <c r="H993" s="82"/>
      <c r="I993" s="82"/>
      <c r="J993" s="82"/>
      <c r="K993" s="23">
        <v>2</v>
      </c>
      <c r="L993" s="23">
        <f>ROUND(11.426,3)</f>
        <v>11.426</v>
      </c>
      <c r="M993" s="24">
        <f>ROUND(K993*L993,2)</f>
        <v>22.85</v>
      </c>
    </row>
    <row r="994" spans="1:13" ht="15.15" customHeight="1" thickBot="1" x14ac:dyDescent="0.35">
      <c r="A994" s="5" t="s">
        <v>3143</v>
      </c>
      <c r="B994" s="5" t="s">
        <v>3144</v>
      </c>
      <c r="C994" s="5" t="s">
        <v>3145</v>
      </c>
      <c r="D994" s="82" t="s">
        <v>3146</v>
      </c>
      <c r="E994" s="82"/>
      <c r="F994" s="82"/>
      <c r="G994" s="82"/>
      <c r="H994" s="82"/>
      <c r="I994" s="82"/>
      <c r="J994" s="82"/>
      <c r="K994" s="23">
        <v>0.27900000000000003</v>
      </c>
      <c r="L994" s="23">
        <f>ROUND(30,3)</f>
        <v>30</v>
      </c>
      <c r="M994" s="24">
        <f>ROUND(K994*L994,2)</f>
        <v>8.3699999999999992</v>
      </c>
    </row>
    <row r="995" spans="1:13" ht="15.15" customHeight="1" thickBot="1" x14ac:dyDescent="0.35">
      <c r="A995" s="5" t="s">
        <v>3147</v>
      </c>
      <c r="B995" s="5" t="s">
        <v>3148</v>
      </c>
      <c r="C995" s="5" t="s">
        <v>3149</v>
      </c>
      <c r="D995" s="82" t="s">
        <v>3150</v>
      </c>
      <c r="E995" s="82"/>
      <c r="F995" s="82"/>
      <c r="G995" s="82"/>
      <c r="H995" s="82"/>
      <c r="I995" s="82"/>
      <c r="J995" s="82"/>
      <c r="K995" s="23">
        <v>0.27900000000000003</v>
      </c>
      <c r="L995" s="23">
        <f>ROUND(26,3)</f>
        <v>26</v>
      </c>
      <c r="M995" s="24">
        <f>ROUND(K995*L995,2)</f>
        <v>7.25</v>
      </c>
    </row>
    <row r="996" spans="1:13" ht="15.15" customHeight="1" thickBot="1" x14ac:dyDescent="0.35">
      <c r="A996" s="5" t="s">
        <v>3151</v>
      </c>
      <c r="B996" s="5"/>
      <c r="C996" s="5" t="s">
        <v>3152</v>
      </c>
      <c r="D996" s="82" t="s">
        <v>3153</v>
      </c>
      <c r="E996" s="82"/>
      <c r="F996" s="82"/>
      <c r="G996" s="82"/>
      <c r="H996" s="82"/>
      <c r="I996" s="82"/>
      <c r="J996" s="82"/>
      <c r="K996" s="23">
        <v>2</v>
      </c>
      <c r="L996" s="23">
        <f>ROUND(145.57,3)</f>
        <v>145.57</v>
      </c>
      <c r="M996" s="24">
        <f>ROUND((K996*L996)/100,2)</f>
        <v>2.91</v>
      </c>
    </row>
    <row r="997" spans="1:13" ht="15.45" customHeight="1" thickBot="1" x14ac:dyDescent="0.35">
      <c r="A997" s="37"/>
      <c r="B997" s="37"/>
      <c r="C997" s="37"/>
      <c r="D997" s="38" t="s">
        <v>3154</v>
      </c>
      <c r="E997" s="37"/>
      <c r="F997" s="37"/>
      <c r="G997" s="37"/>
      <c r="H997" s="37"/>
      <c r="I997" s="37"/>
      <c r="J997" s="37"/>
      <c r="K997" s="39">
        <v>1</v>
      </c>
      <c r="L997" s="40">
        <f>ROUND((M992+M993+M994+M995+M996)*(1+M2/100),2)</f>
        <v>152.93</v>
      </c>
      <c r="M997" s="40">
        <f t="shared" ref="M997:M1002" si="46">ROUND(K997*L997,2)</f>
        <v>152.93</v>
      </c>
    </row>
    <row r="998" spans="1:13" ht="15.45" customHeight="1" thickBot="1" x14ac:dyDescent="0.35">
      <c r="A998" s="58" t="s">
        <v>3155</v>
      </c>
      <c r="B998" s="59" t="s">
        <v>3156</v>
      </c>
      <c r="C998" s="59" t="s">
        <v>3157</v>
      </c>
      <c r="D998" s="85" t="s">
        <v>3158</v>
      </c>
      <c r="E998" s="85"/>
      <c r="F998" s="85"/>
      <c r="G998" s="85"/>
      <c r="H998" s="85"/>
      <c r="I998" s="85"/>
      <c r="J998" s="85"/>
      <c r="K998" s="60">
        <f>ROUND(5,2)</f>
        <v>5</v>
      </c>
      <c r="L998" s="61">
        <f>L1004</f>
        <v>26.57</v>
      </c>
      <c r="M998" s="61">
        <f t="shared" si="46"/>
        <v>132.85</v>
      </c>
    </row>
    <row r="999" spans="1:13" ht="21.3" customHeight="1" thickBot="1" x14ac:dyDescent="0.35">
      <c r="A999" s="5" t="s">
        <v>3159</v>
      </c>
      <c r="B999" s="5" t="s">
        <v>3160</v>
      </c>
      <c r="C999" s="5" t="s">
        <v>3161</v>
      </c>
      <c r="D999" s="82" t="s">
        <v>3162</v>
      </c>
      <c r="E999" s="82"/>
      <c r="F999" s="82"/>
      <c r="G999" s="82"/>
      <c r="H999" s="82"/>
      <c r="I999" s="82"/>
      <c r="J999" s="82"/>
      <c r="K999" s="23">
        <v>1</v>
      </c>
      <c r="L999" s="23">
        <f>ROUND(6.893,3)</f>
        <v>6.8929999999999998</v>
      </c>
      <c r="M999" s="24">
        <f t="shared" si="46"/>
        <v>6.89</v>
      </c>
    </row>
    <row r="1000" spans="1:13" ht="15.15" customHeight="1" thickBot="1" x14ac:dyDescent="0.35">
      <c r="A1000" s="5" t="s">
        <v>3163</v>
      </c>
      <c r="B1000" s="5" t="s">
        <v>3164</v>
      </c>
      <c r="C1000" s="5" t="s">
        <v>3165</v>
      </c>
      <c r="D1000" s="82" t="s">
        <v>3166</v>
      </c>
      <c r="E1000" s="82"/>
      <c r="F1000" s="82"/>
      <c r="G1000" s="82"/>
      <c r="H1000" s="82"/>
      <c r="I1000" s="82"/>
      <c r="J1000" s="82"/>
      <c r="K1000" s="23">
        <v>1</v>
      </c>
      <c r="L1000" s="23">
        <f>ROUND(1.318,3)</f>
        <v>1.3180000000000001</v>
      </c>
      <c r="M1000" s="24">
        <f t="shared" si="46"/>
        <v>1.32</v>
      </c>
    </row>
    <row r="1001" spans="1:13" ht="15.15" customHeight="1" thickBot="1" x14ac:dyDescent="0.35">
      <c r="A1001" s="5" t="s">
        <v>3167</v>
      </c>
      <c r="B1001" s="5" t="s">
        <v>3168</v>
      </c>
      <c r="C1001" s="5" t="s">
        <v>3169</v>
      </c>
      <c r="D1001" s="82" t="s">
        <v>3170</v>
      </c>
      <c r="E1001" s="82"/>
      <c r="F1001" s="82"/>
      <c r="G1001" s="82"/>
      <c r="H1001" s="82"/>
      <c r="I1001" s="82"/>
      <c r="J1001" s="82"/>
      <c r="K1001" s="23">
        <v>0.30499999999999999</v>
      </c>
      <c r="L1001" s="23">
        <f>ROUND(30,3)</f>
        <v>30</v>
      </c>
      <c r="M1001" s="24">
        <f t="shared" si="46"/>
        <v>9.15</v>
      </c>
    </row>
    <row r="1002" spans="1:13" ht="15.15" customHeight="1" thickBot="1" x14ac:dyDescent="0.35">
      <c r="A1002" s="5" t="s">
        <v>3171</v>
      </c>
      <c r="B1002" s="5" t="s">
        <v>3172</v>
      </c>
      <c r="C1002" s="5" t="s">
        <v>3173</v>
      </c>
      <c r="D1002" s="82" t="s">
        <v>3174</v>
      </c>
      <c r="E1002" s="82"/>
      <c r="F1002" s="82"/>
      <c r="G1002" s="82"/>
      <c r="H1002" s="82"/>
      <c r="I1002" s="82"/>
      <c r="J1002" s="82"/>
      <c r="K1002" s="23">
        <v>0.30499999999999999</v>
      </c>
      <c r="L1002" s="23">
        <f>ROUND(26,3)</f>
        <v>26</v>
      </c>
      <c r="M1002" s="24">
        <f t="shared" si="46"/>
        <v>7.93</v>
      </c>
    </row>
    <row r="1003" spans="1:13" ht="15.15" customHeight="1" thickBot="1" x14ac:dyDescent="0.35">
      <c r="A1003" s="5" t="s">
        <v>3175</v>
      </c>
      <c r="B1003" s="5"/>
      <c r="C1003" s="5" t="s">
        <v>3176</v>
      </c>
      <c r="D1003" s="82" t="s">
        <v>3177</v>
      </c>
      <c r="E1003" s="82"/>
      <c r="F1003" s="82"/>
      <c r="G1003" s="82"/>
      <c r="H1003" s="82"/>
      <c r="I1003" s="82"/>
      <c r="J1003" s="82"/>
      <c r="K1003" s="23">
        <v>2</v>
      </c>
      <c r="L1003" s="23">
        <f>ROUND(25.29,3)</f>
        <v>25.29</v>
      </c>
      <c r="M1003" s="24">
        <f>ROUND((K1003*L1003)/100,2)</f>
        <v>0.51</v>
      </c>
    </row>
    <row r="1004" spans="1:13" ht="15.45" customHeight="1" thickBot="1" x14ac:dyDescent="0.35">
      <c r="A1004" s="37"/>
      <c r="B1004" s="37"/>
      <c r="C1004" s="37"/>
      <c r="D1004" s="38" t="s">
        <v>3178</v>
      </c>
      <c r="E1004" s="37"/>
      <c r="F1004" s="37"/>
      <c r="G1004" s="37"/>
      <c r="H1004" s="37"/>
      <c r="I1004" s="37"/>
      <c r="J1004" s="37"/>
      <c r="K1004" s="39">
        <v>5</v>
      </c>
      <c r="L1004" s="40">
        <f>ROUND((M999+M1000+M1001+M1002+M1003)*(1+M2/100),2)</f>
        <v>26.57</v>
      </c>
      <c r="M1004" s="40">
        <f>ROUND(K1004*L1004,2)</f>
        <v>132.85</v>
      </c>
    </row>
    <row r="1005" spans="1:13" ht="15.45" customHeight="1" thickBot="1" x14ac:dyDescent="0.35">
      <c r="A1005" s="58" t="s">
        <v>3179</v>
      </c>
      <c r="B1005" s="59" t="s">
        <v>3180</v>
      </c>
      <c r="C1005" s="59" t="s">
        <v>3181</v>
      </c>
      <c r="D1005" s="85" t="s">
        <v>3182</v>
      </c>
      <c r="E1005" s="85"/>
      <c r="F1005" s="85"/>
      <c r="G1005" s="85"/>
      <c r="H1005" s="85"/>
      <c r="I1005" s="85"/>
      <c r="J1005" s="85"/>
      <c r="K1005" s="60">
        <f>ROUND(3,2)</f>
        <v>3</v>
      </c>
      <c r="L1005" s="61">
        <f>L1010</f>
        <v>62.99</v>
      </c>
      <c r="M1005" s="61">
        <f>ROUND(K1005*L1005,2)</f>
        <v>188.97</v>
      </c>
    </row>
    <row r="1006" spans="1:13" ht="21.3" customHeight="1" thickBot="1" x14ac:dyDescent="0.35">
      <c r="A1006" s="5" t="s">
        <v>3183</v>
      </c>
      <c r="B1006" s="5" t="s">
        <v>3184</v>
      </c>
      <c r="C1006" s="5" t="s">
        <v>3185</v>
      </c>
      <c r="D1006" s="82" t="s">
        <v>3186</v>
      </c>
      <c r="E1006" s="82"/>
      <c r="F1006" s="82"/>
      <c r="G1006" s="82"/>
      <c r="H1006" s="82"/>
      <c r="I1006" s="82"/>
      <c r="J1006" s="82"/>
      <c r="K1006" s="23">
        <v>1</v>
      </c>
      <c r="L1006" s="23">
        <f>ROUND(44.385,3)</f>
        <v>44.384999999999998</v>
      </c>
      <c r="M1006" s="24">
        <f>ROUND(K1006*L1006,2)</f>
        <v>44.39</v>
      </c>
    </row>
    <row r="1007" spans="1:13" ht="15.15" customHeight="1" thickBot="1" x14ac:dyDescent="0.35">
      <c r="A1007" s="5" t="s">
        <v>3187</v>
      </c>
      <c r="B1007" s="5" t="s">
        <v>3188</v>
      </c>
      <c r="C1007" s="5" t="s">
        <v>3189</v>
      </c>
      <c r="D1007" s="82" t="s">
        <v>3190</v>
      </c>
      <c r="E1007" s="82"/>
      <c r="F1007" s="82"/>
      <c r="G1007" s="82"/>
      <c r="H1007" s="82"/>
      <c r="I1007" s="82"/>
      <c r="J1007" s="82"/>
      <c r="K1007" s="23">
        <v>0.27800000000000002</v>
      </c>
      <c r="L1007" s="23">
        <f>ROUND(30,3)</f>
        <v>30</v>
      </c>
      <c r="M1007" s="24">
        <f>ROUND(K1007*L1007,2)</f>
        <v>8.34</v>
      </c>
    </row>
    <row r="1008" spans="1:13" ht="15.15" customHeight="1" thickBot="1" x14ac:dyDescent="0.35">
      <c r="A1008" s="5" t="s">
        <v>3191</v>
      </c>
      <c r="B1008" s="5" t="s">
        <v>3192</v>
      </c>
      <c r="C1008" s="5" t="s">
        <v>3193</v>
      </c>
      <c r="D1008" s="82" t="s">
        <v>3194</v>
      </c>
      <c r="E1008" s="82"/>
      <c r="F1008" s="82"/>
      <c r="G1008" s="82"/>
      <c r="H1008" s="82"/>
      <c r="I1008" s="82"/>
      <c r="J1008" s="82"/>
      <c r="K1008" s="23">
        <v>0.27800000000000002</v>
      </c>
      <c r="L1008" s="23">
        <f>ROUND(26,3)</f>
        <v>26</v>
      </c>
      <c r="M1008" s="24">
        <f>ROUND(K1008*L1008,2)</f>
        <v>7.23</v>
      </c>
    </row>
    <row r="1009" spans="1:13" ht="15.15" customHeight="1" thickBot="1" x14ac:dyDescent="0.35">
      <c r="A1009" s="5" t="s">
        <v>3195</v>
      </c>
      <c r="B1009" s="5"/>
      <c r="C1009" s="5" t="s">
        <v>3196</v>
      </c>
      <c r="D1009" s="82" t="s">
        <v>3197</v>
      </c>
      <c r="E1009" s="82"/>
      <c r="F1009" s="82"/>
      <c r="G1009" s="82"/>
      <c r="H1009" s="82"/>
      <c r="I1009" s="82"/>
      <c r="J1009" s="82"/>
      <c r="K1009" s="23">
        <v>2</v>
      </c>
      <c r="L1009" s="23">
        <f>ROUND(59.96,3)</f>
        <v>59.96</v>
      </c>
      <c r="M1009" s="24">
        <f>ROUND((K1009*L1009)/100,2)</f>
        <v>1.2</v>
      </c>
    </row>
    <row r="1010" spans="1:13" ht="15.45" customHeight="1" thickBot="1" x14ac:dyDescent="0.35">
      <c r="A1010" s="37"/>
      <c r="B1010" s="37"/>
      <c r="C1010" s="37"/>
      <c r="D1010" s="38" t="s">
        <v>3198</v>
      </c>
      <c r="E1010" s="37"/>
      <c r="F1010" s="37"/>
      <c r="G1010" s="37"/>
      <c r="H1010" s="37"/>
      <c r="I1010" s="37"/>
      <c r="J1010" s="37"/>
      <c r="K1010" s="39">
        <v>3</v>
      </c>
      <c r="L1010" s="40">
        <f>ROUND((M1006+M1007+M1008+M1009)*(1+M2/100),2)</f>
        <v>62.99</v>
      </c>
      <c r="M1010" s="40">
        <f>ROUND(K1010*L1010,2)</f>
        <v>188.97</v>
      </c>
    </row>
    <row r="1011" spans="1:13" ht="15.45" customHeight="1" thickBot="1" x14ac:dyDescent="0.35">
      <c r="A1011" s="58" t="s">
        <v>3199</v>
      </c>
      <c r="B1011" s="59" t="s">
        <v>3200</v>
      </c>
      <c r="C1011" s="59" t="s">
        <v>3201</v>
      </c>
      <c r="D1011" s="85" t="s">
        <v>3202</v>
      </c>
      <c r="E1011" s="85"/>
      <c r="F1011" s="85"/>
      <c r="G1011" s="85"/>
      <c r="H1011" s="85"/>
      <c r="I1011" s="85"/>
      <c r="J1011" s="85"/>
      <c r="K1011" s="60">
        <f>ROUND(1,2)</f>
        <v>1</v>
      </c>
      <c r="L1011" s="61">
        <f>L1016</f>
        <v>51.32</v>
      </c>
      <c r="M1011" s="61">
        <f>ROUND(K1011*L1011,2)</f>
        <v>51.32</v>
      </c>
    </row>
    <row r="1012" spans="1:13" ht="21.3" customHeight="1" thickBot="1" x14ac:dyDescent="0.35">
      <c r="A1012" s="5" t="s">
        <v>3203</v>
      </c>
      <c r="B1012" s="5" t="s">
        <v>3204</v>
      </c>
      <c r="C1012" s="5" t="s">
        <v>3205</v>
      </c>
      <c r="D1012" s="82" t="s">
        <v>3206</v>
      </c>
      <c r="E1012" s="82"/>
      <c r="F1012" s="82"/>
      <c r="G1012" s="82"/>
      <c r="H1012" s="82"/>
      <c r="I1012" s="82"/>
      <c r="J1012" s="82"/>
      <c r="K1012" s="23">
        <v>1</v>
      </c>
      <c r="L1012" s="23">
        <f>ROUND(33.229,3)</f>
        <v>33.228999999999999</v>
      </c>
      <c r="M1012" s="24">
        <f>ROUND(K1012*L1012,2)</f>
        <v>33.229999999999997</v>
      </c>
    </row>
    <row r="1013" spans="1:13" ht="15.15" customHeight="1" thickBot="1" x14ac:dyDescent="0.35">
      <c r="A1013" s="5" t="s">
        <v>3207</v>
      </c>
      <c r="B1013" s="5" t="s">
        <v>3208</v>
      </c>
      <c r="C1013" s="5" t="s">
        <v>3209</v>
      </c>
      <c r="D1013" s="82" t="s">
        <v>3210</v>
      </c>
      <c r="E1013" s="82"/>
      <c r="F1013" s="82"/>
      <c r="G1013" s="82"/>
      <c r="H1013" s="82"/>
      <c r="I1013" s="82"/>
      <c r="J1013" s="82"/>
      <c r="K1013" s="23">
        <v>0.27900000000000003</v>
      </c>
      <c r="L1013" s="23">
        <f>ROUND(30,3)</f>
        <v>30</v>
      </c>
      <c r="M1013" s="24">
        <f>ROUND(K1013*L1013,2)</f>
        <v>8.3699999999999992</v>
      </c>
    </row>
    <row r="1014" spans="1:13" ht="15.15" customHeight="1" thickBot="1" x14ac:dyDescent="0.35">
      <c r="A1014" s="5" t="s">
        <v>3211</v>
      </c>
      <c r="B1014" s="5" t="s">
        <v>3212</v>
      </c>
      <c r="C1014" s="5" t="s">
        <v>3213</v>
      </c>
      <c r="D1014" s="82" t="s">
        <v>3214</v>
      </c>
      <c r="E1014" s="82"/>
      <c r="F1014" s="82"/>
      <c r="G1014" s="82"/>
      <c r="H1014" s="82"/>
      <c r="I1014" s="82"/>
      <c r="J1014" s="82"/>
      <c r="K1014" s="23">
        <v>0.27900000000000003</v>
      </c>
      <c r="L1014" s="23">
        <f>ROUND(26,3)</f>
        <v>26</v>
      </c>
      <c r="M1014" s="24">
        <f>ROUND(K1014*L1014,2)</f>
        <v>7.25</v>
      </c>
    </row>
    <row r="1015" spans="1:13" ht="15.15" customHeight="1" thickBot="1" x14ac:dyDescent="0.35">
      <c r="A1015" s="5" t="s">
        <v>3215</v>
      </c>
      <c r="B1015" s="5"/>
      <c r="C1015" s="5" t="s">
        <v>3216</v>
      </c>
      <c r="D1015" s="82" t="s">
        <v>3217</v>
      </c>
      <c r="E1015" s="82"/>
      <c r="F1015" s="82"/>
      <c r="G1015" s="82"/>
      <c r="H1015" s="82"/>
      <c r="I1015" s="82"/>
      <c r="J1015" s="82"/>
      <c r="K1015" s="23">
        <v>2</v>
      </c>
      <c r="L1015" s="23">
        <f>ROUND(48.85,3)</f>
        <v>48.85</v>
      </c>
      <c r="M1015" s="24">
        <f>ROUND((K1015*L1015)/100,2)</f>
        <v>0.98</v>
      </c>
    </row>
    <row r="1016" spans="1:13" ht="15.45" customHeight="1" thickBot="1" x14ac:dyDescent="0.35">
      <c r="A1016" s="37"/>
      <c r="B1016" s="37"/>
      <c r="C1016" s="37"/>
      <c r="D1016" s="38" t="s">
        <v>3218</v>
      </c>
      <c r="E1016" s="37"/>
      <c r="F1016" s="37"/>
      <c r="G1016" s="37"/>
      <c r="H1016" s="37"/>
      <c r="I1016" s="37"/>
      <c r="J1016" s="37"/>
      <c r="K1016" s="39">
        <v>1</v>
      </c>
      <c r="L1016" s="40">
        <f>ROUND((M1012+M1013+M1014+M1015)*(1+M2/100),2)</f>
        <v>51.32</v>
      </c>
      <c r="M1016" s="40">
        <f>ROUND(K1016*L1016,2)</f>
        <v>51.32</v>
      </c>
    </row>
    <row r="1017" spans="1:13" ht="15.45" customHeight="1" thickBot="1" x14ac:dyDescent="0.35">
      <c r="A1017" s="58" t="s">
        <v>3219</v>
      </c>
      <c r="B1017" s="59" t="s">
        <v>3220</v>
      </c>
      <c r="C1017" s="59" t="s">
        <v>3221</v>
      </c>
      <c r="D1017" s="85" t="s">
        <v>3222</v>
      </c>
      <c r="E1017" s="85"/>
      <c r="F1017" s="85"/>
      <c r="G1017" s="85"/>
      <c r="H1017" s="85"/>
      <c r="I1017" s="85"/>
      <c r="J1017" s="85"/>
      <c r="K1017" s="60">
        <f>SUM(K1019:K1022)</f>
        <v>95</v>
      </c>
      <c r="L1017" s="61">
        <f>L1027</f>
        <v>4.13</v>
      </c>
      <c r="M1017" s="61">
        <f>ROUND(K1017*L1017,2)</f>
        <v>392.35</v>
      </c>
    </row>
    <row r="1018" spans="1:13" ht="15.15" customHeight="1" thickBot="1" x14ac:dyDescent="0.35">
      <c r="A1018" s="25"/>
      <c r="B1018" s="25"/>
      <c r="C1018" s="25"/>
      <c r="D1018" s="25"/>
      <c r="E1018" s="26"/>
      <c r="F1018" s="28" t="s">
        <v>3223</v>
      </c>
      <c r="G1018" s="28" t="s">
        <v>3224</v>
      </c>
      <c r="H1018" s="28" t="s">
        <v>3225</v>
      </c>
      <c r="I1018" s="28" t="s">
        <v>3226</v>
      </c>
      <c r="J1018" s="28" t="s">
        <v>3227</v>
      </c>
      <c r="K1018" s="28" t="s">
        <v>3228</v>
      </c>
      <c r="L1018" s="25"/>
      <c r="M1018" s="25"/>
    </row>
    <row r="1019" spans="1:13" ht="15.15" customHeight="1" thickBot="1" x14ac:dyDescent="0.35">
      <c r="A1019" s="25"/>
      <c r="B1019" s="25"/>
      <c r="C1019" s="25"/>
      <c r="D1019" s="29"/>
      <c r="E1019" s="30"/>
      <c r="F1019" s="31">
        <v>1</v>
      </c>
      <c r="G1019" s="32">
        <v>15</v>
      </c>
      <c r="H1019" s="32"/>
      <c r="I1019" s="32"/>
      <c r="J1019" s="34">
        <f>ROUND(F1019*G1019,3)</f>
        <v>15</v>
      </c>
      <c r="K1019" s="57"/>
      <c r="L1019" s="25"/>
      <c r="M1019" s="25"/>
    </row>
    <row r="1020" spans="1:13" ht="15.15" customHeight="1" thickBot="1" x14ac:dyDescent="0.35">
      <c r="A1020" s="25"/>
      <c r="B1020" s="25"/>
      <c r="C1020" s="25"/>
      <c r="D1020" s="29"/>
      <c r="E1020" s="5"/>
      <c r="F1020" s="3">
        <v>1</v>
      </c>
      <c r="G1020" s="23">
        <v>60</v>
      </c>
      <c r="H1020" s="23"/>
      <c r="I1020" s="23"/>
      <c r="J1020" s="33">
        <f>ROUND(F1020*G1020,3)</f>
        <v>60</v>
      </c>
      <c r="K1020" s="25"/>
      <c r="L1020" s="25"/>
      <c r="M1020" s="25"/>
    </row>
    <row r="1021" spans="1:13" ht="15.15" customHeight="1" thickBot="1" x14ac:dyDescent="0.35">
      <c r="A1021" s="25"/>
      <c r="B1021" s="25"/>
      <c r="C1021" s="25"/>
      <c r="D1021" s="29"/>
      <c r="E1021" s="5"/>
      <c r="F1021" s="3">
        <v>1</v>
      </c>
      <c r="G1021" s="23">
        <v>10</v>
      </c>
      <c r="H1021" s="23"/>
      <c r="I1021" s="23"/>
      <c r="J1021" s="33">
        <f>ROUND(F1021*G1021,3)</f>
        <v>10</v>
      </c>
      <c r="K1021" s="25"/>
      <c r="L1021" s="25"/>
      <c r="M1021" s="25"/>
    </row>
    <row r="1022" spans="1:13" ht="15.15" customHeight="1" thickBot="1" x14ac:dyDescent="0.35">
      <c r="A1022" s="25"/>
      <c r="B1022" s="25"/>
      <c r="C1022" s="25"/>
      <c r="D1022" s="29"/>
      <c r="E1022" s="5"/>
      <c r="F1022" s="3">
        <v>1</v>
      </c>
      <c r="G1022" s="23">
        <v>10</v>
      </c>
      <c r="H1022" s="23"/>
      <c r="I1022" s="23"/>
      <c r="J1022" s="33">
        <f>ROUND(F1022*G1022,3)</f>
        <v>10</v>
      </c>
      <c r="K1022" s="35">
        <f>SUM(J1019:J1022)</f>
        <v>95</v>
      </c>
      <c r="L1022" s="25"/>
      <c r="M1022" s="25"/>
    </row>
    <row r="1023" spans="1:13" ht="58.35" customHeight="1" thickBot="1" x14ac:dyDescent="0.35">
      <c r="A1023" s="5" t="s">
        <v>3229</v>
      </c>
      <c r="B1023" s="5" t="s">
        <v>3230</v>
      </c>
      <c r="C1023" s="5" t="s">
        <v>3231</v>
      </c>
      <c r="D1023" s="82" t="s">
        <v>3232</v>
      </c>
      <c r="E1023" s="82"/>
      <c r="F1023" s="82"/>
      <c r="G1023" s="82"/>
      <c r="H1023" s="82"/>
      <c r="I1023" s="82"/>
      <c r="J1023" s="82"/>
      <c r="K1023" s="23">
        <v>1</v>
      </c>
      <c r="L1023" s="23">
        <f>ROUND(1.406,3)</f>
        <v>1.4059999999999999</v>
      </c>
      <c r="M1023" s="24">
        <f>ROUND(K1023*L1023,2)</f>
        <v>1.41</v>
      </c>
    </row>
    <row r="1024" spans="1:13" ht="15.15" customHeight="1" thickBot="1" x14ac:dyDescent="0.35">
      <c r="A1024" s="5" t="s">
        <v>3233</v>
      </c>
      <c r="B1024" s="5" t="s">
        <v>3234</v>
      </c>
      <c r="C1024" s="5" t="s">
        <v>3235</v>
      </c>
      <c r="D1024" s="82" t="s">
        <v>3236</v>
      </c>
      <c r="E1024" s="82"/>
      <c r="F1024" s="82"/>
      <c r="G1024" s="82"/>
      <c r="H1024" s="82"/>
      <c r="I1024" s="82"/>
      <c r="J1024" s="82"/>
      <c r="K1024" s="23">
        <v>4.4999999999999998E-2</v>
      </c>
      <c r="L1024" s="23">
        <f>ROUND(30,3)</f>
        <v>30</v>
      </c>
      <c r="M1024" s="24">
        <f>ROUND(K1024*L1024,2)</f>
        <v>1.35</v>
      </c>
    </row>
    <row r="1025" spans="1:13" ht="15.15" customHeight="1" thickBot="1" x14ac:dyDescent="0.35">
      <c r="A1025" s="5" t="s">
        <v>3237</v>
      </c>
      <c r="B1025" s="5" t="s">
        <v>3238</v>
      </c>
      <c r="C1025" s="5" t="s">
        <v>3239</v>
      </c>
      <c r="D1025" s="82" t="s">
        <v>3240</v>
      </c>
      <c r="E1025" s="82"/>
      <c r="F1025" s="82"/>
      <c r="G1025" s="82"/>
      <c r="H1025" s="82"/>
      <c r="I1025" s="82"/>
      <c r="J1025" s="82"/>
      <c r="K1025" s="23">
        <v>4.4999999999999998E-2</v>
      </c>
      <c r="L1025" s="23">
        <f>ROUND(26,3)</f>
        <v>26</v>
      </c>
      <c r="M1025" s="24">
        <f>ROUND(K1025*L1025,2)</f>
        <v>1.17</v>
      </c>
    </row>
    <row r="1026" spans="1:13" ht="15.15" customHeight="1" thickBot="1" x14ac:dyDescent="0.35">
      <c r="A1026" s="5" t="s">
        <v>3241</v>
      </c>
      <c r="B1026" s="5"/>
      <c r="C1026" s="5" t="s">
        <v>3242</v>
      </c>
      <c r="D1026" s="82" t="s">
        <v>3243</v>
      </c>
      <c r="E1026" s="82"/>
      <c r="F1026" s="82"/>
      <c r="G1026" s="82"/>
      <c r="H1026" s="82"/>
      <c r="I1026" s="82"/>
      <c r="J1026" s="82"/>
      <c r="K1026" s="23">
        <v>2</v>
      </c>
      <c r="L1026" s="23">
        <f>ROUND(3.93,3)</f>
        <v>3.93</v>
      </c>
      <c r="M1026" s="24">
        <f>ROUND((K1026*L1026)/100,2)</f>
        <v>0.08</v>
      </c>
    </row>
    <row r="1027" spans="1:13" ht="15.45" customHeight="1" thickBot="1" x14ac:dyDescent="0.35">
      <c r="A1027" s="37"/>
      <c r="B1027" s="37"/>
      <c r="C1027" s="37"/>
      <c r="D1027" s="38" t="s">
        <v>3244</v>
      </c>
      <c r="E1027" s="37"/>
      <c r="F1027" s="37"/>
      <c r="G1027" s="37"/>
      <c r="H1027" s="37"/>
      <c r="I1027" s="37"/>
      <c r="J1027" s="37"/>
      <c r="K1027" s="39">
        <v>95</v>
      </c>
      <c r="L1027" s="40">
        <f>ROUND((M1023+M1024+M1025+M1026)*(1+M2/100),2)</f>
        <v>4.13</v>
      </c>
      <c r="M1027" s="40">
        <f>ROUND(K1027*L1027,2)</f>
        <v>392.35</v>
      </c>
    </row>
    <row r="1028" spans="1:13" ht="15.45" customHeight="1" thickBot="1" x14ac:dyDescent="0.35">
      <c r="A1028" s="58" t="s">
        <v>3245</v>
      </c>
      <c r="B1028" s="59" t="s">
        <v>3246</v>
      </c>
      <c r="C1028" s="59" t="s">
        <v>3247</v>
      </c>
      <c r="D1028" s="85" t="s">
        <v>3248</v>
      </c>
      <c r="E1028" s="85"/>
      <c r="F1028" s="85"/>
      <c r="G1028" s="85"/>
      <c r="H1028" s="85"/>
      <c r="I1028" s="85"/>
      <c r="J1028" s="85"/>
      <c r="K1028" s="60">
        <f>SUM(K1030:K1033)</f>
        <v>95</v>
      </c>
      <c r="L1028" s="61">
        <f>L1038</f>
        <v>1.79</v>
      </c>
      <c r="M1028" s="61">
        <f>ROUND(K1028*L1028,2)</f>
        <v>170.05</v>
      </c>
    </row>
    <row r="1029" spans="1:13" ht="15.15" customHeight="1" thickBot="1" x14ac:dyDescent="0.35">
      <c r="A1029" s="25"/>
      <c r="B1029" s="25"/>
      <c r="C1029" s="25"/>
      <c r="D1029" s="25"/>
      <c r="E1029" s="26"/>
      <c r="F1029" s="28" t="s">
        <v>3249</v>
      </c>
      <c r="G1029" s="28" t="s">
        <v>3250</v>
      </c>
      <c r="H1029" s="28" t="s">
        <v>3251</v>
      </c>
      <c r="I1029" s="28" t="s">
        <v>3252</v>
      </c>
      <c r="J1029" s="28" t="s">
        <v>3253</v>
      </c>
      <c r="K1029" s="28" t="s">
        <v>3254</v>
      </c>
      <c r="L1029" s="25"/>
      <c r="M1029" s="25"/>
    </row>
    <row r="1030" spans="1:13" ht="15.15" customHeight="1" thickBot="1" x14ac:dyDescent="0.35">
      <c r="A1030" s="25"/>
      <c r="B1030" s="25"/>
      <c r="C1030" s="25"/>
      <c r="D1030" s="29"/>
      <c r="E1030" s="30"/>
      <c r="F1030" s="31">
        <v>1</v>
      </c>
      <c r="G1030" s="32">
        <v>15</v>
      </c>
      <c r="H1030" s="32"/>
      <c r="I1030" s="32"/>
      <c r="J1030" s="34">
        <f>ROUND(F1030*G1030,3)</f>
        <v>15</v>
      </c>
      <c r="K1030" s="57"/>
      <c r="L1030" s="25"/>
      <c r="M1030" s="25"/>
    </row>
    <row r="1031" spans="1:13" ht="15.15" customHeight="1" thickBot="1" x14ac:dyDescent="0.35">
      <c r="A1031" s="25"/>
      <c r="B1031" s="25"/>
      <c r="C1031" s="25"/>
      <c r="D1031" s="29"/>
      <c r="E1031" s="5"/>
      <c r="F1031" s="3">
        <v>1</v>
      </c>
      <c r="G1031" s="23">
        <v>60</v>
      </c>
      <c r="H1031" s="23"/>
      <c r="I1031" s="23"/>
      <c r="J1031" s="33">
        <f>ROUND(F1031*G1031,3)</f>
        <v>60</v>
      </c>
      <c r="K1031" s="25"/>
      <c r="L1031" s="25"/>
      <c r="M1031" s="25"/>
    </row>
    <row r="1032" spans="1:13" ht="15.15" customHeight="1" thickBot="1" x14ac:dyDescent="0.35">
      <c r="A1032" s="25"/>
      <c r="B1032" s="25"/>
      <c r="C1032" s="25"/>
      <c r="D1032" s="29"/>
      <c r="E1032" s="5"/>
      <c r="F1032" s="3">
        <v>1</v>
      </c>
      <c r="G1032" s="23">
        <v>10</v>
      </c>
      <c r="H1032" s="23"/>
      <c r="I1032" s="23"/>
      <c r="J1032" s="33">
        <f>ROUND(F1032*G1032,3)</f>
        <v>10</v>
      </c>
      <c r="K1032" s="25"/>
      <c r="L1032" s="25"/>
      <c r="M1032" s="25"/>
    </row>
    <row r="1033" spans="1:13" ht="15.15" customHeight="1" thickBot="1" x14ac:dyDescent="0.35">
      <c r="A1033" s="25"/>
      <c r="B1033" s="25"/>
      <c r="C1033" s="25"/>
      <c r="D1033" s="29"/>
      <c r="E1033" s="5"/>
      <c r="F1033" s="3">
        <v>1</v>
      </c>
      <c r="G1033" s="23">
        <v>10</v>
      </c>
      <c r="H1033" s="23"/>
      <c r="I1033" s="23"/>
      <c r="J1033" s="33">
        <f>ROUND(F1033*G1033,3)</f>
        <v>10</v>
      </c>
      <c r="K1033" s="35">
        <f>SUM(J1030:J1033)</f>
        <v>95</v>
      </c>
      <c r="L1033" s="25"/>
      <c r="M1033" s="25"/>
    </row>
    <row r="1034" spans="1:13" ht="58.35" customHeight="1" thickBot="1" x14ac:dyDescent="0.35">
      <c r="A1034" s="5" t="s">
        <v>3255</v>
      </c>
      <c r="B1034" s="5" t="s">
        <v>3256</v>
      </c>
      <c r="C1034" s="5" t="s">
        <v>3257</v>
      </c>
      <c r="D1034" s="82" t="s">
        <v>3258</v>
      </c>
      <c r="E1034" s="82"/>
      <c r="F1034" s="82"/>
      <c r="G1034" s="82"/>
      <c r="H1034" s="82"/>
      <c r="I1034" s="82"/>
      <c r="J1034" s="82"/>
      <c r="K1034" s="23">
        <v>1</v>
      </c>
      <c r="L1034" s="23">
        <f>ROUND(1.085,3)</f>
        <v>1.085</v>
      </c>
      <c r="M1034" s="24">
        <f>ROUND(K1034*L1034,2)</f>
        <v>1.0900000000000001</v>
      </c>
    </row>
    <row r="1035" spans="1:13" ht="15.15" customHeight="1" thickBot="1" x14ac:dyDescent="0.35">
      <c r="A1035" s="5" t="s">
        <v>3259</v>
      </c>
      <c r="B1035" s="5" t="s">
        <v>3260</v>
      </c>
      <c r="C1035" s="5" t="s">
        <v>3261</v>
      </c>
      <c r="D1035" s="82" t="s">
        <v>3262</v>
      </c>
      <c r="E1035" s="82"/>
      <c r="F1035" s="82"/>
      <c r="G1035" s="82"/>
      <c r="H1035" s="82"/>
      <c r="I1035" s="82"/>
      <c r="J1035" s="82"/>
      <c r="K1035" s="23">
        <v>1.0999999999999999E-2</v>
      </c>
      <c r="L1035" s="23">
        <f>ROUND(30,3)</f>
        <v>30</v>
      </c>
      <c r="M1035" s="24">
        <f>ROUND(K1035*L1035,2)</f>
        <v>0.33</v>
      </c>
    </row>
    <row r="1036" spans="1:13" ht="15.15" customHeight="1" thickBot="1" x14ac:dyDescent="0.35">
      <c r="A1036" s="5" t="s">
        <v>3263</v>
      </c>
      <c r="B1036" s="5" t="s">
        <v>3264</v>
      </c>
      <c r="C1036" s="5" t="s">
        <v>3265</v>
      </c>
      <c r="D1036" s="82" t="s">
        <v>3266</v>
      </c>
      <c r="E1036" s="82"/>
      <c r="F1036" s="82"/>
      <c r="G1036" s="82"/>
      <c r="H1036" s="82"/>
      <c r="I1036" s="82"/>
      <c r="J1036" s="82"/>
      <c r="K1036" s="23">
        <v>1.0999999999999999E-2</v>
      </c>
      <c r="L1036" s="23">
        <f>ROUND(26,3)</f>
        <v>26</v>
      </c>
      <c r="M1036" s="24">
        <f>ROUND(K1036*L1036,2)</f>
        <v>0.28999999999999998</v>
      </c>
    </row>
    <row r="1037" spans="1:13" ht="15.15" customHeight="1" thickBot="1" x14ac:dyDescent="0.35">
      <c r="A1037" s="5" t="s">
        <v>3267</v>
      </c>
      <c r="B1037" s="5"/>
      <c r="C1037" s="5" t="s">
        <v>3268</v>
      </c>
      <c r="D1037" s="82" t="s">
        <v>3269</v>
      </c>
      <c r="E1037" s="82"/>
      <c r="F1037" s="82"/>
      <c r="G1037" s="82"/>
      <c r="H1037" s="82"/>
      <c r="I1037" s="82"/>
      <c r="J1037" s="82"/>
      <c r="K1037" s="23">
        <v>2</v>
      </c>
      <c r="L1037" s="23">
        <f>ROUND(1.71,3)</f>
        <v>1.71</v>
      </c>
      <c r="M1037" s="24">
        <f>ROUND((K1037*L1037)/100,2)</f>
        <v>0.03</v>
      </c>
    </row>
    <row r="1038" spans="1:13" ht="15.45" customHeight="1" thickBot="1" x14ac:dyDescent="0.35">
      <c r="A1038" s="37"/>
      <c r="B1038" s="37"/>
      <c r="C1038" s="37"/>
      <c r="D1038" s="38" t="s">
        <v>3270</v>
      </c>
      <c r="E1038" s="37"/>
      <c r="F1038" s="37"/>
      <c r="G1038" s="37"/>
      <c r="H1038" s="37"/>
      <c r="I1038" s="37"/>
      <c r="J1038" s="37"/>
      <c r="K1038" s="39">
        <v>95</v>
      </c>
      <c r="L1038" s="40">
        <f>ROUND((M1034+M1035+M1036+M1037)*(1+M2/100),2)</f>
        <v>1.79</v>
      </c>
      <c r="M1038" s="40">
        <f>ROUND(K1038*L1038,2)</f>
        <v>170.05</v>
      </c>
    </row>
    <row r="1039" spans="1:13" ht="15.45" customHeight="1" thickBot="1" x14ac:dyDescent="0.35">
      <c r="A1039" s="41"/>
      <c r="B1039" s="41"/>
      <c r="C1039" s="41"/>
      <c r="D1039" s="42" t="s">
        <v>3271</v>
      </c>
      <c r="E1039" s="43"/>
      <c r="F1039" s="43"/>
      <c r="G1039" s="43"/>
      <c r="H1039" s="43"/>
      <c r="I1039" s="43"/>
      <c r="J1039" s="43"/>
      <c r="K1039" s="43"/>
      <c r="L1039" s="44">
        <f>M991+M998+M1005+M1011+M1017+M1028</f>
        <v>1088.47</v>
      </c>
      <c r="M1039" s="44">
        <f>ROUND(L1039,2)</f>
        <v>1088.47</v>
      </c>
    </row>
    <row r="1040" spans="1:13" ht="15.45" customHeight="1" thickBot="1" x14ac:dyDescent="0.35">
      <c r="A1040" s="54" t="s">
        <v>3272</v>
      </c>
      <c r="B1040" s="54" t="s">
        <v>3273</v>
      </c>
      <c r="C1040" s="55"/>
      <c r="D1040" s="84" t="s">
        <v>3274</v>
      </c>
      <c r="E1040" s="84"/>
      <c r="F1040" s="84"/>
      <c r="G1040" s="84"/>
      <c r="H1040" s="84"/>
      <c r="I1040" s="84"/>
      <c r="J1040" s="84"/>
      <c r="K1040" s="55"/>
      <c r="L1040" s="56">
        <f>L1051</f>
        <v>81.28</v>
      </c>
      <c r="M1040" s="56">
        <f>ROUND(L1040,2)</f>
        <v>81.28</v>
      </c>
    </row>
    <row r="1041" spans="1:13" ht="15.45" customHeight="1" thickBot="1" x14ac:dyDescent="0.35">
      <c r="A1041" s="10" t="s">
        <v>3275</v>
      </c>
      <c r="B1041" s="5" t="s">
        <v>3276</v>
      </c>
      <c r="C1041" s="5" t="s">
        <v>3277</v>
      </c>
      <c r="D1041" s="82" t="s">
        <v>3278</v>
      </c>
      <c r="E1041" s="82"/>
      <c r="F1041" s="82"/>
      <c r="G1041" s="82"/>
      <c r="H1041" s="82"/>
      <c r="I1041" s="82"/>
      <c r="J1041" s="82"/>
      <c r="K1041" s="23">
        <f>ROUND(8,2)</f>
        <v>8</v>
      </c>
      <c r="L1041" s="24">
        <f>L1045</f>
        <v>5.08</v>
      </c>
      <c r="M1041" s="24">
        <f t="shared" ref="M1041:M1050" si="47">ROUND(K1041*L1041,2)</f>
        <v>40.64</v>
      </c>
    </row>
    <row r="1042" spans="1:13" ht="15.15" customHeight="1" thickBot="1" x14ac:dyDescent="0.35">
      <c r="A1042" s="5" t="s">
        <v>3279</v>
      </c>
      <c r="B1042" s="5" t="s">
        <v>3280</v>
      </c>
      <c r="C1042" s="5" t="s">
        <v>3281</v>
      </c>
      <c r="D1042" s="82" t="s">
        <v>3282</v>
      </c>
      <c r="E1042" s="82"/>
      <c r="F1042" s="82"/>
      <c r="G1042" s="82"/>
      <c r="H1042" s="82"/>
      <c r="I1042" s="82"/>
      <c r="J1042" s="82"/>
      <c r="K1042" s="23">
        <v>7.8E-2</v>
      </c>
      <c r="L1042" s="23">
        <f>ROUND(30,3)</f>
        <v>30</v>
      </c>
      <c r="M1042" s="24">
        <f t="shared" si="47"/>
        <v>2.34</v>
      </c>
    </row>
    <row r="1043" spans="1:13" ht="15.15" customHeight="1" thickBot="1" x14ac:dyDescent="0.35">
      <c r="A1043" s="5" t="s">
        <v>3283</v>
      </c>
      <c r="B1043" s="5" t="s">
        <v>3284</v>
      </c>
      <c r="C1043" s="5" t="s">
        <v>3285</v>
      </c>
      <c r="D1043" s="82" t="s">
        <v>3286</v>
      </c>
      <c r="E1043" s="82"/>
      <c r="F1043" s="82"/>
      <c r="G1043" s="82"/>
      <c r="H1043" s="82"/>
      <c r="I1043" s="82"/>
      <c r="J1043" s="82"/>
      <c r="K1043" s="23">
        <v>0.9</v>
      </c>
      <c r="L1043" s="23">
        <f>ROUND(0.819,3)</f>
        <v>0.81899999999999995</v>
      </c>
      <c r="M1043" s="24">
        <f t="shared" si="47"/>
        <v>0.74</v>
      </c>
    </row>
    <row r="1044" spans="1:13" ht="15.15" customHeight="1" thickBot="1" x14ac:dyDescent="0.35">
      <c r="A1044" s="5" t="s">
        <v>3287</v>
      </c>
      <c r="B1044" s="5" t="s">
        <v>3288</v>
      </c>
      <c r="C1044" s="5" t="s">
        <v>3289</v>
      </c>
      <c r="D1044" s="82" t="s">
        <v>3290</v>
      </c>
      <c r="E1044" s="82"/>
      <c r="F1044" s="82"/>
      <c r="G1044" s="82"/>
      <c r="H1044" s="82"/>
      <c r="I1044" s="82"/>
      <c r="J1044" s="82"/>
      <c r="K1044" s="23">
        <v>1</v>
      </c>
      <c r="L1044" s="23">
        <f>ROUND(1.846,3)</f>
        <v>1.8460000000000001</v>
      </c>
      <c r="M1044" s="24">
        <f t="shared" si="47"/>
        <v>1.85</v>
      </c>
    </row>
    <row r="1045" spans="1:13" ht="15.45" customHeight="1" thickBot="1" x14ac:dyDescent="0.35">
      <c r="A1045" s="37"/>
      <c r="B1045" s="37"/>
      <c r="C1045" s="37"/>
      <c r="D1045" s="38" t="s">
        <v>3291</v>
      </c>
      <c r="E1045" s="37"/>
      <c r="F1045" s="37"/>
      <c r="G1045" s="37"/>
      <c r="H1045" s="37"/>
      <c r="I1045" s="37"/>
      <c r="J1045" s="37"/>
      <c r="K1045" s="39">
        <v>8</v>
      </c>
      <c r="L1045" s="40">
        <f>ROUND((M1042+M1043+M1044)*(1+M2/100),2)</f>
        <v>5.08</v>
      </c>
      <c r="M1045" s="40">
        <f t="shared" si="47"/>
        <v>40.64</v>
      </c>
    </row>
    <row r="1046" spans="1:13" ht="15.45" customHeight="1" thickBot="1" x14ac:dyDescent="0.35">
      <c r="A1046" s="58" t="s">
        <v>3292</v>
      </c>
      <c r="B1046" s="59" t="s">
        <v>3293</v>
      </c>
      <c r="C1046" s="59" t="s">
        <v>3294</v>
      </c>
      <c r="D1046" s="85" t="s">
        <v>3295</v>
      </c>
      <c r="E1046" s="85"/>
      <c r="F1046" s="85"/>
      <c r="G1046" s="85"/>
      <c r="H1046" s="85"/>
      <c r="I1046" s="85"/>
      <c r="J1046" s="85"/>
      <c r="K1046" s="60">
        <f>ROUND(8,2)</f>
        <v>8</v>
      </c>
      <c r="L1046" s="61">
        <f>L1050</f>
        <v>5.08</v>
      </c>
      <c r="M1046" s="61">
        <f t="shared" si="47"/>
        <v>40.64</v>
      </c>
    </row>
    <row r="1047" spans="1:13" ht="15.15" customHeight="1" thickBot="1" x14ac:dyDescent="0.35">
      <c r="A1047" s="5" t="s">
        <v>3296</v>
      </c>
      <c r="B1047" s="5" t="s">
        <v>3297</v>
      </c>
      <c r="C1047" s="5" t="s">
        <v>3298</v>
      </c>
      <c r="D1047" s="82" t="s">
        <v>3299</v>
      </c>
      <c r="E1047" s="82"/>
      <c r="F1047" s="82"/>
      <c r="G1047" s="82"/>
      <c r="H1047" s="82"/>
      <c r="I1047" s="82"/>
      <c r="J1047" s="82"/>
      <c r="K1047" s="23">
        <v>7.8E-2</v>
      </c>
      <c r="L1047" s="23">
        <f>ROUND(30,3)</f>
        <v>30</v>
      </c>
      <c r="M1047" s="24">
        <f t="shared" si="47"/>
        <v>2.34</v>
      </c>
    </row>
    <row r="1048" spans="1:13" ht="15.15" customHeight="1" thickBot="1" x14ac:dyDescent="0.35">
      <c r="A1048" s="5" t="s">
        <v>3300</v>
      </c>
      <c r="B1048" s="5" t="s">
        <v>3301</v>
      </c>
      <c r="C1048" s="5" t="s">
        <v>3302</v>
      </c>
      <c r="D1048" s="82" t="s">
        <v>3303</v>
      </c>
      <c r="E1048" s="82"/>
      <c r="F1048" s="82"/>
      <c r="G1048" s="82"/>
      <c r="H1048" s="82"/>
      <c r="I1048" s="82"/>
      <c r="J1048" s="82"/>
      <c r="K1048" s="23">
        <v>0.9</v>
      </c>
      <c r="L1048" s="23">
        <f>ROUND(0.819,3)</f>
        <v>0.81899999999999995</v>
      </c>
      <c r="M1048" s="24">
        <f t="shared" si="47"/>
        <v>0.74</v>
      </c>
    </row>
    <row r="1049" spans="1:13" ht="15.15" customHeight="1" thickBot="1" x14ac:dyDescent="0.35">
      <c r="A1049" s="5" t="s">
        <v>3304</v>
      </c>
      <c r="B1049" s="5" t="s">
        <v>3305</v>
      </c>
      <c r="C1049" s="5" t="s">
        <v>3306</v>
      </c>
      <c r="D1049" s="82" t="s">
        <v>3307</v>
      </c>
      <c r="E1049" s="82"/>
      <c r="F1049" s="82"/>
      <c r="G1049" s="82"/>
      <c r="H1049" s="82"/>
      <c r="I1049" s="82"/>
      <c r="J1049" s="82"/>
      <c r="K1049" s="23">
        <v>1</v>
      </c>
      <c r="L1049" s="23">
        <f>ROUND(1.846,3)</f>
        <v>1.8460000000000001</v>
      </c>
      <c r="M1049" s="24">
        <f t="shared" si="47"/>
        <v>1.85</v>
      </c>
    </row>
    <row r="1050" spans="1:13" ht="15.45" customHeight="1" thickBot="1" x14ac:dyDescent="0.35">
      <c r="A1050" s="37"/>
      <c r="B1050" s="37"/>
      <c r="C1050" s="37"/>
      <c r="D1050" s="38" t="s">
        <v>3308</v>
      </c>
      <c r="E1050" s="37"/>
      <c r="F1050" s="37"/>
      <c r="G1050" s="37"/>
      <c r="H1050" s="37"/>
      <c r="I1050" s="37"/>
      <c r="J1050" s="37"/>
      <c r="K1050" s="39">
        <v>8</v>
      </c>
      <c r="L1050" s="40">
        <f>ROUND((M1047+M1048+M1049)*(1+M2/100),2)</f>
        <v>5.08</v>
      </c>
      <c r="M1050" s="40">
        <f t="shared" si="47"/>
        <v>40.64</v>
      </c>
    </row>
    <row r="1051" spans="1:13" ht="15.45" customHeight="1" thickBot="1" x14ac:dyDescent="0.35">
      <c r="A1051" s="41"/>
      <c r="B1051" s="41"/>
      <c r="C1051" s="41"/>
      <c r="D1051" s="42" t="s">
        <v>3309</v>
      </c>
      <c r="E1051" s="43"/>
      <c r="F1051" s="43"/>
      <c r="G1051" s="43"/>
      <c r="H1051" s="43"/>
      <c r="I1051" s="43"/>
      <c r="J1051" s="43"/>
      <c r="K1051" s="43"/>
      <c r="L1051" s="44">
        <f>M1041+M1046</f>
        <v>81.28</v>
      </c>
      <c r="M1051" s="44">
        <f t="shared" ref="M1051:M1056" si="48">ROUND(L1051,2)</f>
        <v>81.28</v>
      </c>
    </row>
    <row r="1052" spans="1:13" ht="15.45" customHeight="1" thickBot="1" x14ac:dyDescent="0.35">
      <c r="A1052" s="41"/>
      <c r="B1052" s="41"/>
      <c r="C1052" s="41"/>
      <c r="D1052" s="45" t="s">
        <v>3310</v>
      </c>
      <c r="E1052" s="46"/>
      <c r="F1052" s="46"/>
      <c r="G1052" s="46"/>
      <c r="H1052" s="46"/>
      <c r="I1052" s="46"/>
      <c r="J1052" s="46"/>
      <c r="K1052" s="46"/>
      <c r="L1052" s="47">
        <f>M989+M1039+M1051</f>
        <v>1371.08</v>
      </c>
      <c r="M1052" s="47">
        <f t="shared" si="48"/>
        <v>1371.08</v>
      </c>
    </row>
    <row r="1053" spans="1:13" ht="15.45" customHeight="1" thickBot="1" x14ac:dyDescent="0.35">
      <c r="A1053" s="41"/>
      <c r="B1053" s="41"/>
      <c r="C1053" s="41"/>
      <c r="D1053" s="48" t="s">
        <v>3311</v>
      </c>
      <c r="E1053" s="49"/>
      <c r="F1053" s="49"/>
      <c r="G1053" s="49"/>
      <c r="H1053" s="49"/>
      <c r="I1053" s="49"/>
      <c r="J1053" s="49"/>
      <c r="K1053" s="49"/>
      <c r="L1053" s="50">
        <f>M777+M805+M850+M974+M1052</f>
        <v>23589.550000000003</v>
      </c>
      <c r="M1053" s="50">
        <f t="shared" si="48"/>
        <v>23589.55</v>
      </c>
    </row>
    <row r="1054" spans="1:13" ht="15.45" customHeight="1" thickBot="1" x14ac:dyDescent="0.35">
      <c r="A1054" s="51" t="s">
        <v>3312</v>
      </c>
      <c r="B1054" s="51" t="s">
        <v>3313</v>
      </c>
      <c r="C1054" s="52"/>
      <c r="D1054" s="83" t="s">
        <v>3314</v>
      </c>
      <c r="E1054" s="83"/>
      <c r="F1054" s="83"/>
      <c r="G1054" s="83"/>
      <c r="H1054" s="83"/>
      <c r="I1054" s="83"/>
      <c r="J1054" s="83"/>
      <c r="K1054" s="52"/>
      <c r="L1054" s="53">
        <f>L1095</f>
        <v>12012.42</v>
      </c>
      <c r="M1054" s="53">
        <f t="shared" si="48"/>
        <v>12012.42</v>
      </c>
    </row>
    <row r="1055" spans="1:13" ht="15.45" customHeight="1" thickBot="1" x14ac:dyDescent="0.35">
      <c r="A1055" s="17" t="s">
        <v>3315</v>
      </c>
      <c r="B1055" s="17" t="s">
        <v>3316</v>
      </c>
      <c r="C1055" s="18"/>
      <c r="D1055" s="80" t="s">
        <v>3317</v>
      </c>
      <c r="E1055" s="80"/>
      <c r="F1055" s="80"/>
      <c r="G1055" s="80"/>
      <c r="H1055" s="80"/>
      <c r="I1055" s="80"/>
      <c r="J1055" s="80"/>
      <c r="K1055" s="18"/>
      <c r="L1055" s="19">
        <f>L1067</f>
        <v>5689.6</v>
      </c>
      <c r="M1055" s="19">
        <f t="shared" si="48"/>
        <v>5689.6</v>
      </c>
    </row>
    <row r="1056" spans="1:13" ht="15.45" customHeight="1" thickBot="1" x14ac:dyDescent="0.35">
      <c r="A1056" s="20" t="s">
        <v>3318</v>
      </c>
      <c r="B1056" s="20" t="s">
        <v>3319</v>
      </c>
      <c r="C1056" s="21"/>
      <c r="D1056" s="81" t="s">
        <v>3320</v>
      </c>
      <c r="E1056" s="81"/>
      <c r="F1056" s="81"/>
      <c r="G1056" s="81"/>
      <c r="H1056" s="81"/>
      <c r="I1056" s="81"/>
      <c r="J1056" s="81"/>
      <c r="K1056" s="21"/>
      <c r="L1056" s="22">
        <f>L1066</f>
        <v>5689.6</v>
      </c>
      <c r="M1056" s="22">
        <f t="shared" si="48"/>
        <v>5689.6</v>
      </c>
    </row>
    <row r="1057" spans="1:13" ht="39.75" customHeight="1" thickBot="1" x14ac:dyDescent="0.35">
      <c r="A1057" s="10" t="s">
        <v>3321</v>
      </c>
      <c r="B1057" s="5" t="s">
        <v>3322</v>
      </c>
      <c r="C1057" s="5" t="s">
        <v>3323</v>
      </c>
      <c r="D1057" s="82" t="s">
        <v>3324</v>
      </c>
      <c r="E1057" s="82"/>
      <c r="F1057" s="82"/>
      <c r="G1057" s="82"/>
      <c r="H1057" s="82"/>
      <c r="I1057" s="82"/>
      <c r="J1057" s="82"/>
      <c r="K1057" s="23">
        <f>SUM(K1059:K1059)</f>
        <v>640</v>
      </c>
      <c r="L1057" s="24">
        <f>L1065</f>
        <v>8.89</v>
      </c>
      <c r="M1057" s="24">
        <f>ROUND(K1057*L1057,2)</f>
        <v>5689.6</v>
      </c>
    </row>
    <row r="1058" spans="1:13" ht="15.15" customHeight="1" thickBot="1" x14ac:dyDescent="0.35">
      <c r="A1058" s="25"/>
      <c r="B1058" s="25"/>
      <c r="C1058" s="25"/>
      <c r="D1058" s="25"/>
      <c r="E1058" s="26"/>
      <c r="F1058" s="28" t="s">
        <v>3325</v>
      </c>
      <c r="G1058" s="28" t="s">
        <v>3326</v>
      </c>
      <c r="H1058" s="28" t="s">
        <v>3327</v>
      </c>
      <c r="I1058" s="28" t="s">
        <v>3328</v>
      </c>
      <c r="J1058" s="28" t="s">
        <v>3329</v>
      </c>
      <c r="K1058" s="28" t="s">
        <v>3330</v>
      </c>
      <c r="L1058" s="25"/>
      <c r="M1058" s="25"/>
    </row>
    <row r="1059" spans="1:13" ht="15.15" customHeight="1" thickBot="1" x14ac:dyDescent="0.35">
      <c r="A1059" s="25"/>
      <c r="B1059" s="25"/>
      <c r="C1059" s="25"/>
      <c r="D1059" s="29"/>
      <c r="E1059" s="30" t="s">
        <v>3331</v>
      </c>
      <c r="F1059" s="31"/>
      <c r="G1059" s="32">
        <v>80</v>
      </c>
      <c r="H1059" s="32"/>
      <c r="I1059" s="32">
        <v>8</v>
      </c>
      <c r="J1059" s="34">
        <f>ROUND(G1059*I1059,3)</f>
        <v>640</v>
      </c>
      <c r="K1059" s="36">
        <f>SUM(J1059:J1059)</f>
        <v>640</v>
      </c>
      <c r="L1059" s="25"/>
      <c r="M1059" s="25"/>
    </row>
    <row r="1060" spans="1:13" ht="15.15" customHeight="1" thickBot="1" x14ac:dyDescent="0.35">
      <c r="A1060" s="5" t="s">
        <v>3332</v>
      </c>
      <c r="B1060" s="5" t="s">
        <v>3333</v>
      </c>
      <c r="C1060" s="5" t="s">
        <v>3334</v>
      </c>
      <c r="D1060" s="82" t="s">
        <v>3335</v>
      </c>
      <c r="E1060" s="82"/>
      <c r="F1060" s="82"/>
      <c r="G1060" s="82"/>
      <c r="H1060" s="82"/>
      <c r="I1060" s="82"/>
      <c r="J1060" s="82"/>
      <c r="K1060" s="23">
        <v>0.5</v>
      </c>
      <c r="L1060" s="23">
        <f>ROUND(1.737,3)</f>
        <v>1.7370000000000001</v>
      </c>
      <c r="M1060" s="24">
        <f>ROUND(K1060*L1060,2)</f>
        <v>0.87</v>
      </c>
    </row>
    <row r="1061" spans="1:13" ht="21.3" customHeight="1" thickBot="1" x14ac:dyDescent="0.35">
      <c r="A1061" s="5" t="s">
        <v>3336</v>
      </c>
      <c r="B1061" s="5" t="s">
        <v>3337</v>
      </c>
      <c r="C1061" s="5" t="s">
        <v>3338</v>
      </c>
      <c r="D1061" s="82" t="s">
        <v>3339</v>
      </c>
      <c r="E1061" s="82"/>
      <c r="F1061" s="82"/>
      <c r="G1061" s="82"/>
      <c r="H1061" s="82"/>
      <c r="I1061" s="82"/>
      <c r="J1061" s="82"/>
      <c r="K1061" s="23">
        <v>1.1000000000000001</v>
      </c>
      <c r="L1061" s="23">
        <f>ROUND(2.924,3)</f>
        <v>2.9239999999999999</v>
      </c>
      <c r="M1061" s="24">
        <f>ROUND(K1061*L1061,2)</f>
        <v>3.22</v>
      </c>
    </row>
    <row r="1062" spans="1:13" ht="15.15" customHeight="1" thickBot="1" x14ac:dyDescent="0.35">
      <c r="A1062" s="5" t="s">
        <v>3340</v>
      </c>
      <c r="B1062" s="5" t="s">
        <v>3341</v>
      </c>
      <c r="C1062" s="5" t="s">
        <v>3342</v>
      </c>
      <c r="D1062" s="82" t="s">
        <v>3343</v>
      </c>
      <c r="E1062" s="82"/>
      <c r="F1062" s="82"/>
      <c r="G1062" s="82"/>
      <c r="H1062" s="82"/>
      <c r="I1062" s="82"/>
      <c r="J1062" s="82"/>
      <c r="K1062" s="23">
        <v>9.6000000000000002E-2</v>
      </c>
      <c r="L1062" s="23">
        <f>ROUND(24.05,3)</f>
        <v>24.05</v>
      </c>
      <c r="M1062" s="24">
        <f>ROUND(K1062*L1062,2)</f>
        <v>2.31</v>
      </c>
    </row>
    <row r="1063" spans="1:13" ht="15.15" customHeight="1" thickBot="1" x14ac:dyDescent="0.35">
      <c r="A1063" s="5" t="s">
        <v>3344</v>
      </c>
      <c r="B1063" s="5" t="s">
        <v>3345</v>
      </c>
      <c r="C1063" s="5" t="s">
        <v>3346</v>
      </c>
      <c r="D1063" s="82" t="s">
        <v>3347</v>
      </c>
      <c r="E1063" s="82"/>
      <c r="F1063" s="82"/>
      <c r="G1063" s="82"/>
      <c r="H1063" s="82"/>
      <c r="I1063" s="82"/>
      <c r="J1063" s="82"/>
      <c r="K1063" s="23">
        <v>9.6000000000000002E-2</v>
      </c>
      <c r="L1063" s="23">
        <f>ROUND(21.51,3)</f>
        <v>21.51</v>
      </c>
      <c r="M1063" s="24">
        <f>ROUND(K1063*L1063,2)</f>
        <v>2.06</v>
      </c>
    </row>
    <row r="1064" spans="1:13" ht="15.15" customHeight="1" thickBot="1" x14ac:dyDescent="0.35">
      <c r="A1064" s="5" t="s">
        <v>3348</v>
      </c>
      <c r="B1064" s="5"/>
      <c r="C1064" s="5" t="s">
        <v>3349</v>
      </c>
      <c r="D1064" s="82" t="s">
        <v>3350</v>
      </c>
      <c r="E1064" s="82"/>
      <c r="F1064" s="82"/>
      <c r="G1064" s="82"/>
      <c r="H1064" s="82"/>
      <c r="I1064" s="82"/>
      <c r="J1064" s="82"/>
      <c r="K1064" s="23">
        <v>2</v>
      </c>
      <c r="L1064" s="23">
        <f>ROUND(8.46,3)</f>
        <v>8.4600000000000009</v>
      </c>
      <c r="M1064" s="24">
        <f>ROUND((K1064*L1064)/100,2)</f>
        <v>0.17</v>
      </c>
    </row>
    <row r="1065" spans="1:13" ht="15.45" customHeight="1" thickBot="1" x14ac:dyDescent="0.35">
      <c r="A1065" s="37"/>
      <c r="B1065" s="37"/>
      <c r="C1065" s="37"/>
      <c r="D1065" s="38" t="s">
        <v>3351</v>
      </c>
      <c r="E1065" s="37"/>
      <c r="F1065" s="37"/>
      <c r="G1065" s="37"/>
      <c r="H1065" s="37"/>
      <c r="I1065" s="37"/>
      <c r="J1065" s="37"/>
      <c r="K1065" s="39">
        <v>640</v>
      </c>
      <c r="L1065" s="40">
        <f>ROUND((M1060+M1061+M1062+M1063+M1064)*(1+M2/100),2)</f>
        <v>8.89</v>
      </c>
      <c r="M1065" s="40">
        <f>ROUND(K1065*L1065,2)</f>
        <v>5689.6</v>
      </c>
    </row>
    <row r="1066" spans="1:13" ht="15.45" customHeight="1" thickBot="1" x14ac:dyDescent="0.35">
      <c r="A1066" s="41"/>
      <c r="B1066" s="41"/>
      <c r="C1066" s="41"/>
      <c r="D1066" s="42" t="s">
        <v>3352</v>
      </c>
      <c r="E1066" s="43"/>
      <c r="F1066" s="43"/>
      <c r="G1066" s="43"/>
      <c r="H1066" s="43"/>
      <c r="I1066" s="43"/>
      <c r="J1066" s="43"/>
      <c r="K1066" s="43"/>
      <c r="L1066" s="44">
        <f>M1057</f>
        <v>5689.6</v>
      </c>
      <c r="M1066" s="44">
        <f>ROUND(L1066,2)</f>
        <v>5689.6</v>
      </c>
    </row>
    <row r="1067" spans="1:13" ht="15.45" customHeight="1" thickBot="1" x14ac:dyDescent="0.35">
      <c r="A1067" s="41"/>
      <c r="B1067" s="41"/>
      <c r="C1067" s="41"/>
      <c r="D1067" s="45" t="s">
        <v>3353</v>
      </c>
      <c r="E1067" s="46"/>
      <c r="F1067" s="46"/>
      <c r="G1067" s="46"/>
      <c r="H1067" s="46"/>
      <c r="I1067" s="46"/>
      <c r="J1067" s="46"/>
      <c r="K1067" s="46"/>
      <c r="L1067" s="47">
        <f>M1066</f>
        <v>5689.6</v>
      </c>
      <c r="M1067" s="47">
        <f>ROUND(L1067,2)</f>
        <v>5689.6</v>
      </c>
    </row>
    <row r="1068" spans="1:13" ht="15.45" customHeight="1" thickBot="1" x14ac:dyDescent="0.35">
      <c r="A1068" s="62" t="s">
        <v>3354</v>
      </c>
      <c r="B1068" s="62" t="s">
        <v>3355</v>
      </c>
      <c r="C1068" s="63"/>
      <c r="D1068" s="86" t="s">
        <v>3356</v>
      </c>
      <c r="E1068" s="86"/>
      <c r="F1068" s="86"/>
      <c r="G1068" s="86"/>
      <c r="H1068" s="86"/>
      <c r="I1068" s="86"/>
      <c r="J1068" s="86"/>
      <c r="K1068" s="63"/>
      <c r="L1068" s="64">
        <f>L1081</f>
        <v>5232</v>
      </c>
      <c r="M1068" s="64">
        <f>ROUND(L1068,2)</f>
        <v>5232</v>
      </c>
    </row>
    <row r="1069" spans="1:13" ht="15.45" customHeight="1" thickBot="1" x14ac:dyDescent="0.35">
      <c r="A1069" s="20" t="s">
        <v>3357</v>
      </c>
      <c r="B1069" s="20" t="s">
        <v>3358</v>
      </c>
      <c r="C1069" s="21"/>
      <c r="D1069" s="81" t="s">
        <v>3359</v>
      </c>
      <c r="E1069" s="81"/>
      <c r="F1069" s="81"/>
      <c r="G1069" s="81"/>
      <c r="H1069" s="81"/>
      <c r="I1069" s="81"/>
      <c r="J1069" s="81"/>
      <c r="K1069" s="21"/>
      <c r="L1069" s="22">
        <f>L1080</f>
        <v>5232</v>
      </c>
      <c r="M1069" s="22">
        <f>ROUND(L1069,2)</f>
        <v>5232</v>
      </c>
    </row>
    <row r="1070" spans="1:13" ht="49.05" customHeight="1" thickBot="1" x14ac:dyDescent="0.35">
      <c r="A1070" s="10" t="s">
        <v>3360</v>
      </c>
      <c r="B1070" s="5" t="s">
        <v>3361</v>
      </c>
      <c r="C1070" s="5" t="s">
        <v>3362</v>
      </c>
      <c r="D1070" s="82" t="s">
        <v>3363</v>
      </c>
      <c r="E1070" s="82"/>
      <c r="F1070" s="82"/>
      <c r="G1070" s="82"/>
      <c r="H1070" s="82"/>
      <c r="I1070" s="82"/>
      <c r="J1070" s="82"/>
      <c r="K1070" s="23">
        <f>SUM(K1072:K1072)</f>
        <v>800</v>
      </c>
      <c r="L1070" s="24">
        <f>L1079</f>
        <v>6.54</v>
      </c>
      <c r="M1070" s="24">
        <f>ROUND(K1070*L1070,2)</f>
        <v>5232</v>
      </c>
    </row>
    <row r="1071" spans="1:13" ht="15.15" customHeight="1" thickBot="1" x14ac:dyDescent="0.35">
      <c r="A1071" s="25"/>
      <c r="B1071" s="25"/>
      <c r="C1071" s="25"/>
      <c r="D1071" s="25"/>
      <c r="E1071" s="26"/>
      <c r="F1071" s="28" t="s">
        <v>3364</v>
      </c>
      <c r="G1071" s="28" t="s">
        <v>3365</v>
      </c>
      <c r="H1071" s="28" t="s">
        <v>3366</v>
      </c>
      <c r="I1071" s="28" t="s">
        <v>3367</v>
      </c>
      <c r="J1071" s="28" t="s">
        <v>3368</v>
      </c>
      <c r="K1071" s="28" t="s">
        <v>3369</v>
      </c>
      <c r="L1071" s="25"/>
      <c r="M1071" s="25"/>
    </row>
    <row r="1072" spans="1:13" ht="15.15" customHeight="1" thickBot="1" x14ac:dyDescent="0.35">
      <c r="A1072" s="25"/>
      <c r="B1072" s="25"/>
      <c r="C1072" s="25"/>
      <c r="D1072" s="29"/>
      <c r="E1072" s="30" t="s">
        <v>3370</v>
      </c>
      <c r="F1072" s="31"/>
      <c r="G1072" s="32">
        <v>80</v>
      </c>
      <c r="H1072" s="32"/>
      <c r="I1072" s="32">
        <v>10</v>
      </c>
      <c r="J1072" s="34">
        <f>ROUND(G1072*I1072,3)</f>
        <v>800</v>
      </c>
      <c r="K1072" s="36">
        <f>SUM(J1072:J1072)</f>
        <v>800</v>
      </c>
      <c r="L1072" s="25"/>
      <c r="M1072" s="25"/>
    </row>
    <row r="1073" spans="1:13" ht="30.6" customHeight="1" thickBot="1" x14ac:dyDescent="0.35">
      <c r="A1073" s="5" t="s">
        <v>3371</v>
      </c>
      <c r="B1073" s="5" t="s">
        <v>3372</v>
      </c>
      <c r="C1073" s="5" t="s">
        <v>3373</v>
      </c>
      <c r="D1073" s="82" t="s">
        <v>3374</v>
      </c>
      <c r="E1073" s="82"/>
      <c r="F1073" s="82"/>
      <c r="G1073" s="82"/>
      <c r="H1073" s="82"/>
      <c r="I1073" s="82"/>
      <c r="J1073" s="82"/>
      <c r="K1073" s="23">
        <v>1.1000000000000001</v>
      </c>
      <c r="L1073" s="23">
        <f>ROUND(1.1,3)</f>
        <v>1.1000000000000001</v>
      </c>
      <c r="M1073" s="24">
        <f>ROUND(K1073*L1073,2)</f>
        <v>1.21</v>
      </c>
    </row>
    <row r="1074" spans="1:13" ht="15.15" customHeight="1" thickBot="1" x14ac:dyDescent="0.35">
      <c r="A1074" s="5" t="s">
        <v>3375</v>
      </c>
      <c r="B1074" s="5" t="s">
        <v>3376</v>
      </c>
      <c r="C1074" s="5" t="s">
        <v>3377</v>
      </c>
      <c r="D1074" s="82" t="s">
        <v>3378</v>
      </c>
      <c r="E1074" s="82"/>
      <c r="F1074" s="82"/>
      <c r="G1074" s="82"/>
      <c r="H1074" s="82"/>
      <c r="I1074" s="82"/>
      <c r="J1074" s="82"/>
      <c r="K1074" s="23">
        <v>2</v>
      </c>
      <c r="L1074" s="23">
        <f>ROUND(0.01,3)</f>
        <v>0.01</v>
      </c>
      <c r="M1074" s="24">
        <f>ROUND(K1074*L1074,2)</f>
        <v>0.02</v>
      </c>
    </row>
    <row r="1075" spans="1:13" ht="15.15" customHeight="1" thickBot="1" x14ac:dyDescent="0.35">
      <c r="A1075" s="5" t="s">
        <v>3379</v>
      </c>
      <c r="B1075" s="5" t="s">
        <v>3380</v>
      </c>
      <c r="C1075" s="5" t="s">
        <v>3381</v>
      </c>
      <c r="D1075" s="82" t="s">
        <v>3382</v>
      </c>
      <c r="E1075" s="82"/>
      <c r="F1075" s="82"/>
      <c r="G1075" s="82"/>
      <c r="H1075" s="82"/>
      <c r="I1075" s="82"/>
      <c r="J1075" s="82"/>
      <c r="K1075" s="23">
        <v>0.3</v>
      </c>
      <c r="L1075" s="23">
        <f>ROUND(0.985,3)</f>
        <v>0.98499999999999999</v>
      </c>
      <c r="M1075" s="24">
        <f>ROUND(K1075*L1075,2)</f>
        <v>0.3</v>
      </c>
    </row>
    <row r="1076" spans="1:13" ht="15.15" customHeight="1" thickBot="1" x14ac:dyDescent="0.35">
      <c r="A1076" s="5" t="s">
        <v>3383</v>
      </c>
      <c r="B1076" s="5" t="s">
        <v>3384</v>
      </c>
      <c r="C1076" s="5" t="s">
        <v>3385</v>
      </c>
      <c r="D1076" s="82" t="s">
        <v>3386</v>
      </c>
      <c r="E1076" s="82"/>
      <c r="F1076" s="82"/>
      <c r="G1076" s="82"/>
      <c r="H1076" s="82"/>
      <c r="I1076" s="82"/>
      <c r="J1076" s="82"/>
      <c r="K1076" s="23">
        <v>0.10299999999999999</v>
      </c>
      <c r="L1076" s="23">
        <f>ROUND(24.05,3)</f>
        <v>24.05</v>
      </c>
      <c r="M1076" s="24">
        <f>ROUND(K1076*L1076,2)</f>
        <v>2.48</v>
      </c>
    </row>
    <row r="1077" spans="1:13" ht="15.15" customHeight="1" thickBot="1" x14ac:dyDescent="0.35">
      <c r="A1077" s="5" t="s">
        <v>3387</v>
      </c>
      <c r="B1077" s="5" t="s">
        <v>3388</v>
      </c>
      <c r="C1077" s="5" t="s">
        <v>3389</v>
      </c>
      <c r="D1077" s="82" t="s">
        <v>3390</v>
      </c>
      <c r="E1077" s="82"/>
      <c r="F1077" s="82"/>
      <c r="G1077" s="82"/>
      <c r="H1077" s="82"/>
      <c r="I1077" s="82"/>
      <c r="J1077" s="82"/>
      <c r="K1077" s="23">
        <v>0.10299999999999999</v>
      </c>
      <c r="L1077" s="23">
        <f>ROUND(21.51,3)</f>
        <v>21.51</v>
      </c>
      <c r="M1077" s="24">
        <f>ROUND(K1077*L1077,2)</f>
        <v>2.2200000000000002</v>
      </c>
    </row>
    <row r="1078" spans="1:13" ht="15.15" customHeight="1" thickBot="1" x14ac:dyDescent="0.35">
      <c r="A1078" s="5" t="s">
        <v>3391</v>
      </c>
      <c r="B1078" s="5"/>
      <c r="C1078" s="5" t="s">
        <v>3392</v>
      </c>
      <c r="D1078" s="82" t="s">
        <v>3393</v>
      </c>
      <c r="E1078" s="82"/>
      <c r="F1078" s="82"/>
      <c r="G1078" s="82"/>
      <c r="H1078" s="82"/>
      <c r="I1078" s="82"/>
      <c r="J1078" s="82"/>
      <c r="K1078" s="23">
        <v>2</v>
      </c>
      <c r="L1078" s="23">
        <f>ROUND(6.23,3)</f>
        <v>6.23</v>
      </c>
      <c r="M1078" s="24">
        <f>ROUND((K1078*L1078)/100,2)</f>
        <v>0.12</v>
      </c>
    </row>
    <row r="1079" spans="1:13" ht="15.45" customHeight="1" thickBot="1" x14ac:dyDescent="0.35">
      <c r="A1079" s="37"/>
      <c r="B1079" s="37"/>
      <c r="C1079" s="37"/>
      <c r="D1079" s="38" t="s">
        <v>3394</v>
      </c>
      <c r="E1079" s="37"/>
      <c r="F1079" s="37"/>
      <c r="G1079" s="37"/>
      <c r="H1079" s="37"/>
      <c r="I1079" s="37"/>
      <c r="J1079" s="37"/>
      <c r="K1079" s="39">
        <v>800</v>
      </c>
      <c r="L1079" s="40">
        <f>ROUND((M1073+M1074+M1075+M1076+M1077+M1078)*(1+M2/100),2)</f>
        <v>6.54</v>
      </c>
      <c r="M1079" s="40">
        <f>ROUND(K1079*L1079,2)</f>
        <v>5232</v>
      </c>
    </row>
    <row r="1080" spans="1:13" ht="15.45" customHeight="1" thickBot="1" x14ac:dyDescent="0.35">
      <c r="A1080" s="41"/>
      <c r="B1080" s="41"/>
      <c r="C1080" s="41"/>
      <c r="D1080" s="42" t="s">
        <v>3395</v>
      </c>
      <c r="E1080" s="43"/>
      <c r="F1080" s="43"/>
      <c r="G1080" s="43"/>
      <c r="H1080" s="43"/>
      <c r="I1080" s="43"/>
      <c r="J1080" s="43"/>
      <c r="K1080" s="43"/>
      <c r="L1080" s="44">
        <f>M1070</f>
        <v>5232</v>
      </c>
      <c r="M1080" s="44">
        <f>ROUND(L1080,2)</f>
        <v>5232</v>
      </c>
    </row>
    <row r="1081" spans="1:13" ht="15.45" customHeight="1" thickBot="1" x14ac:dyDescent="0.35">
      <c r="A1081" s="41"/>
      <c r="B1081" s="41"/>
      <c r="C1081" s="41"/>
      <c r="D1081" s="45" t="s">
        <v>3396</v>
      </c>
      <c r="E1081" s="46"/>
      <c r="F1081" s="46"/>
      <c r="G1081" s="46"/>
      <c r="H1081" s="46"/>
      <c r="I1081" s="46"/>
      <c r="J1081" s="46"/>
      <c r="K1081" s="46"/>
      <c r="L1081" s="47">
        <f>M1080</f>
        <v>5232</v>
      </c>
      <c r="M1081" s="47">
        <f>ROUND(L1081,2)</f>
        <v>5232</v>
      </c>
    </row>
    <row r="1082" spans="1:13" ht="15.45" customHeight="1" thickBot="1" x14ac:dyDescent="0.35">
      <c r="A1082" s="62" t="s">
        <v>3397</v>
      </c>
      <c r="B1082" s="62" t="s">
        <v>3398</v>
      </c>
      <c r="C1082" s="63"/>
      <c r="D1082" s="86" t="s">
        <v>3399</v>
      </c>
      <c r="E1082" s="86"/>
      <c r="F1082" s="86"/>
      <c r="G1082" s="86"/>
      <c r="H1082" s="86"/>
      <c r="I1082" s="86"/>
      <c r="J1082" s="86"/>
      <c r="K1082" s="63"/>
      <c r="L1082" s="64">
        <f>L1094</f>
        <v>1090.82</v>
      </c>
      <c r="M1082" s="64">
        <f>ROUND(L1082,2)</f>
        <v>1090.82</v>
      </c>
    </row>
    <row r="1083" spans="1:13" ht="15.45" customHeight="1" thickBot="1" x14ac:dyDescent="0.35">
      <c r="A1083" s="20" t="s">
        <v>3400</v>
      </c>
      <c r="B1083" s="20" t="s">
        <v>3401</v>
      </c>
      <c r="C1083" s="21"/>
      <c r="D1083" s="81" t="s">
        <v>3402</v>
      </c>
      <c r="E1083" s="81"/>
      <c r="F1083" s="81"/>
      <c r="G1083" s="81"/>
      <c r="H1083" s="81"/>
      <c r="I1083" s="81"/>
      <c r="J1083" s="81"/>
      <c r="K1083" s="21"/>
      <c r="L1083" s="22">
        <f>L1093</f>
        <v>1090.82</v>
      </c>
      <c r="M1083" s="22">
        <f>ROUND(L1083,2)</f>
        <v>1090.82</v>
      </c>
    </row>
    <row r="1084" spans="1:13" ht="21.3" customHeight="1" thickBot="1" x14ac:dyDescent="0.35">
      <c r="A1084" s="10" t="s">
        <v>3403</v>
      </c>
      <c r="B1084" s="5" t="s">
        <v>3404</v>
      </c>
      <c r="C1084" s="5" t="s">
        <v>3405</v>
      </c>
      <c r="D1084" s="82" t="s">
        <v>3406</v>
      </c>
      <c r="E1084" s="82"/>
      <c r="F1084" s="82"/>
      <c r="G1084" s="82"/>
      <c r="H1084" s="82"/>
      <c r="I1084" s="82"/>
      <c r="J1084" s="82"/>
      <c r="K1084" s="23">
        <f>SUM(K1086:K1087)</f>
        <v>1113.08</v>
      </c>
      <c r="L1084" s="24">
        <f>L1092</f>
        <v>0.98</v>
      </c>
      <c r="M1084" s="24">
        <f>ROUND(K1084*L1084,2)</f>
        <v>1090.82</v>
      </c>
    </row>
    <row r="1085" spans="1:13" ht="15.15" customHeight="1" thickBot="1" x14ac:dyDescent="0.35">
      <c r="A1085" s="25"/>
      <c r="B1085" s="25"/>
      <c r="C1085" s="25"/>
      <c r="D1085" s="25"/>
      <c r="E1085" s="26"/>
      <c r="F1085" s="28" t="s">
        <v>3407</v>
      </c>
      <c r="G1085" s="28" t="s">
        <v>3408</v>
      </c>
      <c r="H1085" s="28" t="s">
        <v>3409</v>
      </c>
      <c r="I1085" s="28" t="s">
        <v>3410</v>
      </c>
      <c r="J1085" s="28" t="s">
        <v>3411</v>
      </c>
      <c r="K1085" s="28" t="s">
        <v>3412</v>
      </c>
      <c r="L1085" s="25"/>
      <c r="M1085" s="25"/>
    </row>
    <row r="1086" spans="1:13" ht="15.15" customHeight="1" thickBot="1" x14ac:dyDescent="0.35">
      <c r="A1086" s="25"/>
      <c r="B1086" s="25"/>
      <c r="C1086" s="25"/>
      <c r="D1086" s="29"/>
      <c r="E1086" s="30" t="s">
        <v>3413</v>
      </c>
      <c r="F1086" s="31"/>
      <c r="G1086" s="32"/>
      <c r="H1086" s="32"/>
      <c r="I1086" s="32">
        <v>866.65</v>
      </c>
      <c r="J1086" s="34">
        <f>ROUND(I1086,3)</f>
        <v>866.65</v>
      </c>
      <c r="K1086" s="57"/>
      <c r="L1086" s="25"/>
      <c r="M1086" s="25"/>
    </row>
    <row r="1087" spans="1:13" ht="21.3" customHeight="1" thickBot="1" x14ac:dyDescent="0.35">
      <c r="A1087" s="25"/>
      <c r="B1087" s="25"/>
      <c r="C1087" s="25"/>
      <c r="D1087" s="29"/>
      <c r="E1087" s="5" t="s">
        <v>3414</v>
      </c>
      <c r="F1087" s="3"/>
      <c r="G1087" s="23"/>
      <c r="H1087" s="23"/>
      <c r="I1087" s="23">
        <v>246.43</v>
      </c>
      <c r="J1087" s="33">
        <f>ROUND(I1087,3)</f>
        <v>246.43</v>
      </c>
      <c r="K1087" s="35">
        <f>SUM(J1086:J1087)</f>
        <v>1113.08</v>
      </c>
      <c r="L1087" s="25"/>
      <c r="M1087" s="25"/>
    </row>
    <row r="1088" spans="1:13" ht="15.15" customHeight="1" thickBot="1" x14ac:dyDescent="0.35">
      <c r="A1088" s="5" t="s">
        <v>3415</v>
      </c>
      <c r="B1088" s="5" t="s">
        <v>3416</v>
      </c>
      <c r="C1088" s="5" t="s">
        <v>3417</v>
      </c>
      <c r="D1088" s="82" t="s">
        <v>3418</v>
      </c>
      <c r="E1088" s="82"/>
      <c r="F1088" s="82"/>
      <c r="G1088" s="82"/>
      <c r="H1088" s="82"/>
      <c r="I1088" s="82"/>
      <c r="J1088" s="82"/>
      <c r="K1088" s="23">
        <v>1.4</v>
      </c>
      <c r="L1088" s="23">
        <f>ROUND(0.088,3)</f>
        <v>8.7999999999999995E-2</v>
      </c>
      <c r="M1088" s="24">
        <f>ROUND(K1088*L1088,2)</f>
        <v>0.12</v>
      </c>
    </row>
    <row r="1089" spans="1:13" ht="15.15" customHeight="1" thickBot="1" x14ac:dyDescent="0.35">
      <c r="A1089" s="5" t="s">
        <v>3419</v>
      </c>
      <c r="B1089" s="5" t="s">
        <v>3420</v>
      </c>
      <c r="C1089" s="5" t="s">
        <v>3421</v>
      </c>
      <c r="D1089" s="82" t="s">
        <v>3422</v>
      </c>
      <c r="E1089" s="82"/>
      <c r="F1089" s="82"/>
      <c r="G1089" s="82"/>
      <c r="H1089" s="82"/>
      <c r="I1089" s="82"/>
      <c r="J1089" s="82"/>
      <c r="K1089" s="23">
        <v>1.2E-2</v>
      </c>
      <c r="L1089" s="23">
        <f>ROUND(24.05,3)</f>
        <v>24.05</v>
      </c>
      <c r="M1089" s="24">
        <f>ROUND(K1089*L1089,2)</f>
        <v>0.28999999999999998</v>
      </c>
    </row>
    <row r="1090" spans="1:13" ht="15.15" customHeight="1" thickBot="1" x14ac:dyDescent="0.35">
      <c r="A1090" s="5" t="s">
        <v>3423</v>
      </c>
      <c r="B1090" s="5" t="s">
        <v>3424</v>
      </c>
      <c r="C1090" s="5" t="s">
        <v>3425</v>
      </c>
      <c r="D1090" s="82" t="s">
        <v>3426</v>
      </c>
      <c r="E1090" s="82"/>
      <c r="F1090" s="82"/>
      <c r="G1090" s="82"/>
      <c r="H1090" s="82"/>
      <c r="I1090" s="82"/>
      <c r="J1090" s="82"/>
      <c r="K1090" s="23">
        <v>2.4E-2</v>
      </c>
      <c r="L1090" s="23">
        <f>ROUND(21.51,3)</f>
        <v>21.51</v>
      </c>
      <c r="M1090" s="24">
        <f>ROUND(K1090*L1090,2)</f>
        <v>0.52</v>
      </c>
    </row>
    <row r="1091" spans="1:13" ht="15.15" customHeight="1" thickBot="1" x14ac:dyDescent="0.35">
      <c r="A1091" s="5" t="s">
        <v>3427</v>
      </c>
      <c r="B1091" s="5"/>
      <c r="C1091" s="5" t="s">
        <v>3428</v>
      </c>
      <c r="D1091" s="82" t="s">
        <v>3429</v>
      </c>
      <c r="E1091" s="82"/>
      <c r="F1091" s="82"/>
      <c r="G1091" s="82"/>
      <c r="H1091" s="82"/>
      <c r="I1091" s="82"/>
      <c r="J1091" s="82"/>
      <c r="K1091" s="23">
        <v>2</v>
      </c>
      <c r="L1091" s="23">
        <f>ROUND(0.93,3)</f>
        <v>0.93</v>
      </c>
      <c r="M1091" s="24">
        <f>ROUND((K1091*L1091)/100,2)</f>
        <v>0.02</v>
      </c>
    </row>
    <row r="1092" spans="1:13" ht="15.45" customHeight="1" thickBot="1" x14ac:dyDescent="0.35">
      <c r="A1092" s="37"/>
      <c r="B1092" s="37"/>
      <c r="C1092" s="37"/>
      <c r="D1092" s="38" t="s">
        <v>3430</v>
      </c>
      <c r="E1092" s="37"/>
      <c r="F1092" s="37"/>
      <c r="G1092" s="37"/>
      <c r="H1092" s="37"/>
      <c r="I1092" s="37"/>
      <c r="J1092" s="37"/>
      <c r="K1092" s="39">
        <v>1113.08</v>
      </c>
      <c r="L1092" s="40">
        <f>ROUND((M1088+M1089+M1090+M1091)*(1+M2/100),2)</f>
        <v>0.98</v>
      </c>
      <c r="M1092" s="40">
        <f>ROUND(K1092*L1092,2)</f>
        <v>1090.82</v>
      </c>
    </row>
    <row r="1093" spans="1:13" ht="15.45" customHeight="1" thickBot="1" x14ac:dyDescent="0.35">
      <c r="A1093" s="41"/>
      <c r="B1093" s="41"/>
      <c r="C1093" s="41"/>
      <c r="D1093" s="42" t="s">
        <v>3431</v>
      </c>
      <c r="E1093" s="43"/>
      <c r="F1093" s="43"/>
      <c r="G1093" s="43"/>
      <c r="H1093" s="43"/>
      <c r="I1093" s="43"/>
      <c r="J1093" s="43"/>
      <c r="K1093" s="43"/>
      <c r="L1093" s="44">
        <f>M1084</f>
        <v>1090.82</v>
      </c>
      <c r="M1093" s="44">
        <f t="shared" ref="M1093:M1098" si="49">ROUND(L1093,2)</f>
        <v>1090.82</v>
      </c>
    </row>
    <row r="1094" spans="1:13" ht="15.45" customHeight="1" thickBot="1" x14ac:dyDescent="0.35">
      <c r="A1094" s="41"/>
      <c r="B1094" s="41"/>
      <c r="C1094" s="41"/>
      <c r="D1094" s="45" t="s">
        <v>3432</v>
      </c>
      <c r="E1094" s="46"/>
      <c r="F1094" s="46"/>
      <c r="G1094" s="46"/>
      <c r="H1094" s="46"/>
      <c r="I1094" s="46"/>
      <c r="J1094" s="46"/>
      <c r="K1094" s="46"/>
      <c r="L1094" s="47">
        <f>M1093</f>
        <v>1090.82</v>
      </c>
      <c r="M1094" s="47">
        <f t="shared" si="49"/>
        <v>1090.82</v>
      </c>
    </row>
    <row r="1095" spans="1:13" ht="15.45" customHeight="1" thickBot="1" x14ac:dyDescent="0.35">
      <c r="A1095" s="41"/>
      <c r="B1095" s="41"/>
      <c r="C1095" s="41"/>
      <c r="D1095" s="48" t="s">
        <v>3433</v>
      </c>
      <c r="E1095" s="49"/>
      <c r="F1095" s="49"/>
      <c r="G1095" s="49"/>
      <c r="H1095" s="49"/>
      <c r="I1095" s="49"/>
      <c r="J1095" s="49"/>
      <c r="K1095" s="49"/>
      <c r="L1095" s="50">
        <f>M1067+M1081+M1094</f>
        <v>12012.42</v>
      </c>
      <c r="M1095" s="50">
        <f t="shared" si="49"/>
        <v>12012.42</v>
      </c>
    </row>
    <row r="1096" spans="1:13" ht="15.45" customHeight="1" thickBot="1" x14ac:dyDescent="0.35">
      <c r="A1096" s="51" t="s">
        <v>3434</v>
      </c>
      <c r="B1096" s="51" t="s">
        <v>3435</v>
      </c>
      <c r="C1096" s="52"/>
      <c r="D1096" s="83" t="s">
        <v>3436</v>
      </c>
      <c r="E1096" s="83"/>
      <c r="F1096" s="83"/>
      <c r="G1096" s="83"/>
      <c r="H1096" s="83"/>
      <c r="I1096" s="83"/>
      <c r="J1096" s="83"/>
      <c r="K1096" s="52"/>
      <c r="L1096" s="53">
        <f>L1121</f>
        <v>38498.82</v>
      </c>
      <c r="M1096" s="53">
        <f t="shared" si="49"/>
        <v>38498.82</v>
      </c>
    </row>
    <row r="1097" spans="1:13" ht="15.45" customHeight="1" thickBot="1" x14ac:dyDescent="0.35">
      <c r="A1097" s="17" t="s">
        <v>3437</v>
      </c>
      <c r="B1097" s="17" t="s">
        <v>3438</v>
      </c>
      <c r="C1097" s="18"/>
      <c r="D1097" s="80" t="s">
        <v>3439</v>
      </c>
      <c r="E1097" s="80"/>
      <c r="F1097" s="80"/>
      <c r="G1097" s="80"/>
      <c r="H1097" s="80"/>
      <c r="I1097" s="80"/>
      <c r="J1097" s="80"/>
      <c r="K1097" s="18"/>
      <c r="L1097" s="19">
        <f>L1120</f>
        <v>38498.82</v>
      </c>
      <c r="M1097" s="19">
        <f t="shared" si="49"/>
        <v>38498.82</v>
      </c>
    </row>
    <row r="1098" spans="1:13" ht="15.45" customHeight="1" thickBot="1" x14ac:dyDescent="0.35">
      <c r="A1098" s="20" t="s">
        <v>3440</v>
      </c>
      <c r="B1098" s="20" t="s">
        <v>3441</v>
      </c>
      <c r="C1098" s="21"/>
      <c r="D1098" s="81" t="s">
        <v>3442</v>
      </c>
      <c r="E1098" s="81"/>
      <c r="F1098" s="81"/>
      <c r="G1098" s="81"/>
      <c r="H1098" s="81"/>
      <c r="I1098" s="81"/>
      <c r="J1098" s="81"/>
      <c r="K1098" s="21"/>
      <c r="L1098" s="22">
        <f>L1119</f>
        <v>38498.82</v>
      </c>
      <c r="M1098" s="22">
        <f t="shared" si="49"/>
        <v>38498.82</v>
      </c>
    </row>
    <row r="1099" spans="1:13" ht="76.8" customHeight="1" thickBot="1" x14ac:dyDescent="0.35">
      <c r="A1099" s="10" t="s">
        <v>3443</v>
      </c>
      <c r="B1099" s="5" t="s">
        <v>3444</v>
      </c>
      <c r="C1099" s="5" t="s">
        <v>3445</v>
      </c>
      <c r="D1099" s="82" t="s">
        <v>3446</v>
      </c>
      <c r="E1099" s="82"/>
      <c r="F1099" s="82"/>
      <c r="G1099" s="82"/>
      <c r="H1099" s="82"/>
      <c r="I1099" s="82"/>
      <c r="J1099" s="82"/>
      <c r="K1099" s="23">
        <f>SUM(K1101:K1101)</f>
        <v>856.1</v>
      </c>
      <c r="L1099" s="24">
        <f>L1118</f>
        <v>44.97</v>
      </c>
      <c r="M1099" s="24">
        <f>ROUND(K1099*L1099,2)</f>
        <v>38498.82</v>
      </c>
    </row>
    <row r="1100" spans="1:13" ht="15.15" customHeight="1" thickBot="1" x14ac:dyDescent="0.35">
      <c r="A1100" s="25"/>
      <c r="B1100" s="25"/>
      <c r="C1100" s="25"/>
      <c r="D1100" s="25"/>
      <c r="E1100" s="26"/>
      <c r="F1100" s="28" t="s">
        <v>3447</v>
      </c>
      <c r="G1100" s="28" t="s">
        <v>3448</v>
      </c>
      <c r="H1100" s="28" t="s">
        <v>3449</v>
      </c>
      <c r="I1100" s="28" t="s">
        <v>3450</v>
      </c>
      <c r="J1100" s="28" t="s">
        <v>3451</v>
      </c>
      <c r="K1100" s="28" t="s">
        <v>3452</v>
      </c>
      <c r="L1100" s="25"/>
      <c r="M1100" s="25"/>
    </row>
    <row r="1101" spans="1:13" ht="15.15" customHeight="1" thickBot="1" x14ac:dyDescent="0.35">
      <c r="A1101" s="25"/>
      <c r="B1101" s="25"/>
      <c r="C1101" s="25"/>
      <c r="D1101" s="29"/>
      <c r="E1101" s="30" t="s">
        <v>3453</v>
      </c>
      <c r="F1101" s="31"/>
      <c r="G1101" s="32"/>
      <c r="H1101" s="32"/>
      <c r="I1101" s="32">
        <v>856.1</v>
      </c>
      <c r="J1101" s="34">
        <f>ROUND(I1101,3)</f>
        <v>856.1</v>
      </c>
      <c r="K1101" s="36">
        <f>SUM(J1101:J1101)</f>
        <v>856.1</v>
      </c>
      <c r="L1101" s="25"/>
      <c r="M1101" s="25"/>
    </row>
    <row r="1102" spans="1:13" ht="21.3" customHeight="1" thickBot="1" x14ac:dyDescent="0.35">
      <c r="A1102" s="5" t="s">
        <v>3454</v>
      </c>
      <c r="B1102" s="5" t="s">
        <v>3455</v>
      </c>
      <c r="C1102" s="5" t="s">
        <v>3456</v>
      </c>
      <c r="D1102" s="82" t="s">
        <v>3457</v>
      </c>
      <c r="E1102" s="82"/>
      <c r="F1102" s="82"/>
      <c r="G1102" s="82"/>
      <c r="H1102" s="82"/>
      <c r="I1102" s="82"/>
      <c r="J1102" s="82"/>
      <c r="K1102" s="23">
        <v>3</v>
      </c>
      <c r="L1102" s="23">
        <f>ROUND(0.187,3)</f>
        <v>0.187</v>
      </c>
      <c r="M1102" s="24">
        <f t="shared" ref="M1102:M1116" si="50">ROUND(K1102*L1102,2)</f>
        <v>0.56000000000000005</v>
      </c>
    </row>
    <row r="1103" spans="1:13" ht="15.15" customHeight="1" thickBot="1" x14ac:dyDescent="0.35">
      <c r="A1103" s="5" t="s">
        <v>3458</v>
      </c>
      <c r="B1103" s="5" t="s">
        <v>3459</v>
      </c>
      <c r="C1103" s="5" t="s">
        <v>3460</v>
      </c>
      <c r="D1103" s="82" t="s">
        <v>3461</v>
      </c>
      <c r="E1103" s="82"/>
      <c r="F1103" s="82"/>
      <c r="G1103" s="82"/>
      <c r="H1103" s="82"/>
      <c r="I1103" s="82"/>
      <c r="J1103" s="82"/>
      <c r="K1103" s="23">
        <v>0.1</v>
      </c>
      <c r="L1103" s="23">
        <f>ROUND(76.339,3)</f>
        <v>76.338999999999999</v>
      </c>
      <c r="M1103" s="24">
        <f t="shared" si="50"/>
        <v>7.63</v>
      </c>
    </row>
    <row r="1104" spans="1:13" ht="15.15" customHeight="1" thickBot="1" x14ac:dyDescent="0.35">
      <c r="A1104" s="5" t="s">
        <v>3462</v>
      </c>
      <c r="B1104" s="5" t="s">
        <v>3463</v>
      </c>
      <c r="C1104" s="5" t="s">
        <v>3464</v>
      </c>
      <c r="D1104" s="82" t="s">
        <v>3465</v>
      </c>
      <c r="E1104" s="82"/>
      <c r="F1104" s="82"/>
      <c r="G1104" s="82"/>
      <c r="H1104" s="82"/>
      <c r="I1104" s="82"/>
      <c r="J1104" s="82"/>
      <c r="K1104" s="23">
        <v>0.01</v>
      </c>
      <c r="L1104" s="23">
        <f>ROUND(59.613,3)</f>
        <v>59.613</v>
      </c>
      <c r="M1104" s="24">
        <f t="shared" si="50"/>
        <v>0.6</v>
      </c>
    </row>
    <row r="1105" spans="1:13" ht="21.3" customHeight="1" thickBot="1" x14ac:dyDescent="0.35">
      <c r="A1105" s="5" t="s">
        <v>3466</v>
      </c>
      <c r="B1105" s="5" t="s">
        <v>3467</v>
      </c>
      <c r="C1105" s="5" t="s">
        <v>3468</v>
      </c>
      <c r="D1105" s="82" t="s">
        <v>3469</v>
      </c>
      <c r="E1105" s="82"/>
      <c r="F1105" s="82"/>
      <c r="G1105" s="82"/>
      <c r="H1105" s="82"/>
      <c r="I1105" s="82"/>
      <c r="J1105" s="82"/>
      <c r="K1105" s="23">
        <v>0.01</v>
      </c>
      <c r="L1105" s="23">
        <f>ROUND(0.711,3)</f>
        <v>0.71099999999999997</v>
      </c>
      <c r="M1105" s="24">
        <f t="shared" si="50"/>
        <v>0.01</v>
      </c>
    </row>
    <row r="1106" spans="1:13" ht="15.15" customHeight="1" thickBot="1" x14ac:dyDescent="0.35">
      <c r="A1106" s="5" t="s">
        <v>3470</v>
      </c>
      <c r="B1106" s="5" t="s">
        <v>3471</v>
      </c>
      <c r="C1106" s="5" t="s">
        <v>3472</v>
      </c>
      <c r="D1106" s="82" t="s">
        <v>3473</v>
      </c>
      <c r="E1106" s="82"/>
      <c r="F1106" s="82"/>
      <c r="G1106" s="82"/>
      <c r="H1106" s="82"/>
      <c r="I1106" s="82"/>
      <c r="J1106" s="82"/>
      <c r="K1106" s="23">
        <v>1.4E-2</v>
      </c>
      <c r="L1106" s="23">
        <f>ROUND(0.99,3)</f>
        <v>0.99</v>
      </c>
      <c r="M1106" s="24">
        <f t="shared" si="50"/>
        <v>0.01</v>
      </c>
    </row>
    <row r="1107" spans="1:13" ht="21.3" customHeight="1" thickBot="1" x14ac:dyDescent="0.35">
      <c r="A1107" s="5" t="s">
        <v>3474</v>
      </c>
      <c r="B1107" s="5" t="s">
        <v>3475</v>
      </c>
      <c r="C1107" s="5" t="s">
        <v>3476</v>
      </c>
      <c r="D1107" s="82" t="s">
        <v>3477</v>
      </c>
      <c r="E1107" s="82"/>
      <c r="F1107" s="82"/>
      <c r="G1107" s="82"/>
      <c r="H1107" s="82"/>
      <c r="I1107" s="82"/>
      <c r="J1107" s="82"/>
      <c r="K1107" s="23">
        <v>7.4999999999999997E-2</v>
      </c>
      <c r="L1107" s="23">
        <f>ROUND(18.161,3)</f>
        <v>18.161000000000001</v>
      </c>
      <c r="M1107" s="24">
        <f t="shared" si="50"/>
        <v>1.36</v>
      </c>
    </row>
    <row r="1108" spans="1:13" ht="30.6" customHeight="1" thickBot="1" x14ac:dyDescent="0.35">
      <c r="A1108" s="5" t="s">
        <v>3478</v>
      </c>
      <c r="B1108" s="5" t="s">
        <v>3479</v>
      </c>
      <c r="C1108" s="5" t="s">
        <v>3480</v>
      </c>
      <c r="D1108" s="82" t="s">
        <v>3481</v>
      </c>
      <c r="E1108" s="82"/>
      <c r="F1108" s="82"/>
      <c r="G1108" s="82"/>
      <c r="H1108" s="82"/>
      <c r="I1108" s="82"/>
      <c r="J1108" s="82"/>
      <c r="K1108" s="23">
        <v>1.05</v>
      </c>
      <c r="L1108" s="23">
        <f>ROUND(13.721,3)</f>
        <v>13.721</v>
      </c>
      <c r="M1108" s="24">
        <f t="shared" si="50"/>
        <v>14.41</v>
      </c>
    </row>
    <row r="1109" spans="1:13" ht="30.6" customHeight="1" thickBot="1" x14ac:dyDescent="0.35">
      <c r="A1109" s="5" t="s">
        <v>3482</v>
      </c>
      <c r="B1109" s="5" t="s">
        <v>3483</v>
      </c>
      <c r="C1109" s="5" t="s">
        <v>3484</v>
      </c>
      <c r="D1109" s="82" t="s">
        <v>3485</v>
      </c>
      <c r="E1109" s="82"/>
      <c r="F1109" s="82"/>
      <c r="G1109" s="82"/>
      <c r="H1109" s="82"/>
      <c r="I1109" s="82"/>
      <c r="J1109" s="82"/>
      <c r="K1109" s="23">
        <v>1.1000000000000001</v>
      </c>
      <c r="L1109" s="23">
        <f>ROUND(3.833,3)</f>
        <v>3.8330000000000002</v>
      </c>
      <c r="M1109" s="24">
        <f t="shared" si="50"/>
        <v>4.22</v>
      </c>
    </row>
    <row r="1110" spans="1:13" ht="21.3" customHeight="1" thickBot="1" x14ac:dyDescent="0.35">
      <c r="A1110" s="5" t="s">
        <v>3486</v>
      </c>
      <c r="B1110" s="5" t="s">
        <v>3487</v>
      </c>
      <c r="C1110" s="5" t="s">
        <v>3488</v>
      </c>
      <c r="D1110" s="82" t="s">
        <v>3489</v>
      </c>
      <c r="E1110" s="82"/>
      <c r="F1110" s="82"/>
      <c r="G1110" s="82"/>
      <c r="H1110" s="82"/>
      <c r="I1110" s="82"/>
      <c r="J1110" s="82"/>
      <c r="K1110" s="23">
        <v>1.1000000000000001</v>
      </c>
      <c r="L1110" s="23">
        <f>ROUND(2.526,3)</f>
        <v>2.5259999999999998</v>
      </c>
      <c r="M1110" s="24">
        <f t="shared" si="50"/>
        <v>2.78</v>
      </c>
    </row>
    <row r="1111" spans="1:13" ht="15.15" customHeight="1" thickBot="1" x14ac:dyDescent="0.35">
      <c r="A1111" s="5" t="s">
        <v>3490</v>
      </c>
      <c r="B1111" s="5" t="s">
        <v>3491</v>
      </c>
      <c r="C1111" s="5" t="s">
        <v>3492</v>
      </c>
      <c r="D1111" s="82" t="s">
        <v>3493</v>
      </c>
      <c r="E1111" s="82"/>
      <c r="F1111" s="82"/>
      <c r="G1111" s="82"/>
      <c r="H1111" s="82"/>
      <c r="I1111" s="82"/>
      <c r="J1111" s="82"/>
      <c r="K1111" s="23">
        <v>5.2999999999999999E-2</v>
      </c>
      <c r="L1111" s="23">
        <f>ROUND(30,3)</f>
        <v>30</v>
      </c>
      <c r="M1111" s="24">
        <f t="shared" si="50"/>
        <v>1.59</v>
      </c>
    </row>
    <row r="1112" spans="1:13" ht="15.15" customHeight="1" thickBot="1" x14ac:dyDescent="0.35">
      <c r="A1112" s="5" t="s">
        <v>3494</v>
      </c>
      <c r="B1112" s="5" t="s">
        <v>3495</v>
      </c>
      <c r="C1112" s="5" t="s">
        <v>3496</v>
      </c>
      <c r="D1112" s="82" t="s">
        <v>3497</v>
      </c>
      <c r="E1112" s="82"/>
      <c r="F1112" s="82"/>
      <c r="G1112" s="82"/>
      <c r="H1112" s="82"/>
      <c r="I1112" s="82"/>
      <c r="J1112" s="82"/>
      <c r="K1112" s="23">
        <v>0.17299999999999999</v>
      </c>
      <c r="L1112" s="23">
        <f>ROUND(21,3)</f>
        <v>21</v>
      </c>
      <c r="M1112" s="24">
        <f t="shared" si="50"/>
        <v>3.63</v>
      </c>
    </row>
    <row r="1113" spans="1:13" ht="15.15" customHeight="1" thickBot="1" x14ac:dyDescent="0.35">
      <c r="A1113" s="5" t="s">
        <v>3498</v>
      </c>
      <c r="B1113" s="5" t="s">
        <v>3499</v>
      </c>
      <c r="C1113" s="5" t="s">
        <v>3500</v>
      </c>
      <c r="D1113" s="82" t="s">
        <v>3501</v>
      </c>
      <c r="E1113" s="82"/>
      <c r="F1113" s="82"/>
      <c r="G1113" s="82"/>
      <c r="H1113" s="82"/>
      <c r="I1113" s="82"/>
      <c r="J1113" s="82"/>
      <c r="K1113" s="23">
        <v>0.10100000000000001</v>
      </c>
      <c r="L1113" s="23">
        <f>ROUND(24.05,3)</f>
        <v>24.05</v>
      </c>
      <c r="M1113" s="24">
        <f t="shared" si="50"/>
        <v>2.4300000000000002</v>
      </c>
    </row>
    <row r="1114" spans="1:13" ht="15.15" customHeight="1" thickBot="1" x14ac:dyDescent="0.35">
      <c r="A1114" s="5" t="s">
        <v>3502</v>
      </c>
      <c r="B1114" s="5" t="s">
        <v>3503</v>
      </c>
      <c r="C1114" s="5" t="s">
        <v>3504</v>
      </c>
      <c r="D1114" s="82" t="s">
        <v>3505</v>
      </c>
      <c r="E1114" s="82"/>
      <c r="F1114" s="82"/>
      <c r="G1114" s="82"/>
      <c r="H1114" s="82"/>
      <c r="I1114" s="82"/>
      <c r="J1114" s="82"/>
      <c r="K1114" s="23">
        <v>0.10100000000000001</v>
      </c>
      <c r="L1114" s="23">
        <f>ROUND(21.51,3)</f>
        <v>21.51</v>
      </c>
      <c r="M1114" s="24">
        <f t="shared" si="50"/>
        <v>2.17</v>
      </c>
    </row>
    <row r="1115" spans="1:13" ht="15.15" customHeight="1" thickBot="1" x14ac:dyDescent="0.35">
      <c r="A1115" s="5" t="s">
        <v>3506</v>
      </c>
      <c r="B1115" s="5" t="s">
        <v>3507</v>
      </c>
      <c r="C1115" s="5" t="s">
        <v>3508</v>
      </c>
      <c r="D1115" s="82" t="s">
        <v>3509</v>
      </c>
      <c r="E1115" s="82"/>
      <c r="F1115" s="82"/>
      <c r="G1115" s="82"/>
      <c r="H1115" s="82"/>
      <c r="I1115" s="82"/>
      <c r="J1115" s="82"/>
      <c r="K1115" s="23">
        <v>0.03</v>
      </c>
      <c r="L1115" s="23">
        <f>ROUND(24.84,3)</f>
        <v>24.84</v>
      </c>
      <c r="M1115" s="24">
        <f t="shared" si="50"/>
        <v>0.75</v>
      </c>
    </row>
    <row r="1116" spans="1:13" ht="15.15" customHeight="1" thickBot="1" x14ac:dyDescent="0.35">
      <c r="A1116" s="5" t="s">
        <v>3510</v>
      </c>
      <c r="B1116" s="5" t="s">
        <v>3511</v>
      </c>
      <c r="C1116" s="5" t="s">
        <v>3512</v>
      </c>
      <c r="D1116" s="82" t="s">
        <v>3513</v>
      </c>
      <c r="E1116" s="82"/>
      <c r="F1116" s="82"/>
      <c r="G1116" s="82"/>
      <c r="H1116" s="82"/>
      <c r="I1116" s="82"/>
      <c r="J1116" s="82"/>
      <c r="K1116" s="23">
        <v>0.03</v>
      </c>
      <c r="L1116" s="23">
        <f>ROUND(21.51,3)</f>
        <v>21.51</v>
      </c>
      <c r="M1116" s="24">
        <f t="shared" si="50"/>
        <v>0.65</v>
      </c>
    </row>
    <row r="1117" spans="1:13" ht="15.15" customHeight="1" thickBot="1" x14ac:dyDescent="0.35">
      <c r="A1117" s="5" t="s">
        <v>3514</v>
      </c>
      <c r="B1117" s="5"/>
      <c r="C1117" s="5" t="s">
        <v>3515</v>
      </c>
      <c r="D1117" s="82" t="s">
        <v>3516</v>
      </c>
      <c r="E1117" s="82"/>
      <c r="F1117" s="82"/>
      <c r="G1117" s="82"/>
      <c r="H1117" s="82"/>
      <c r="I1117" s="82"/>
      <c r="J1117" s="82"/>
      <c r="K1117" s="23">
        <v>2</v>
      </c>
      <c r="L1117" s="23">
        <f>ROUND(42.8,3)</f>
        <v>42.8</v>
      </c>
      <c r="M1117" s="24">
        <f>ROUND((K1117*L1117)/100,2)</f>
        <v>0.86</v>
      </c>
    </row>
    <row r="1118" spans="1:13" ht="15.45" customHeight="1" thickBot="1" x14ac:dyDescent="0.35">
      <c r="A1118" s="37"/>
      <c r="B1118" s="37"/>
      <c r="C1118" s="37"/>
      <c r="D1118" s="38" t="s">
        <v>3517</v>
      </c>
      <c r="E1118" s="37"/>
      <c r="F1118" s="37"/>
      <c r="G1118" s="37"/>
      <c r="H1118" s="37"/>
      <c r="I1118" s="37"/>
      <c r="J1118" s="37"/>
      <c r="K1118" s="39">
        <v>856.1</v>
      </c>
      <c r="L1118" s="40">
        <f>ROUND((M1102+M1103+M1104+M1105+M1106+M1107+M1108+M1109+M1110+M1111+M1112+M1113+M1114+M1115+M1116+M1117)*(1+M2/100),2)</f>
        <v>44.97</v>
      </c>
      <c r="M1118" s="40">
        <f>ROUND(K1118*L1118,2)</f>
        <v>38498.82</v>
      </c>
    </row>
    <row r="1119" spans="1:13" ht="15.45" customHeight="1" thickBot="1" x14ac:dyDescent="0.35">
      <c r="A1119" s="41"/>
      <c r="B1119" s="41"/>
      <c r="C1119" s="41"/>
      <c r="D1119" s="42" t="s">
        <v>3518</v>
      </c>
      <c r="E1119" s="43"/>
      <c r="F1119" s="43"/>
      <c r="G1119" s="43"/>
      <c r="H1119" s="43"/>
      <c r="I1119" s="43"/>
      <c r="J1119" s="43"/>
      <c r="K1119" s="43"/>
      <c r="L1119" s="44">
        <f>M1099</f>
        <v>38498.82</v>
      </c>
      <c r="M1119" s="44">
        <f t="shared" ref="M1119:M1124" si="51">ROUND(L1119,2)</f>
        <v>38498.82</v>
      </c>
    </row>
    <row r="1120" spans="1:13" ht="15.45" customHeight="1" thickBot="1" x14ac:dyDescent="0.35">
      <c r="A1120" s="41"/>
      <c r="B1120" s="41"/>
      <c r="C1120" s="41"/>
      <c r="D1120" s="45" t="s">
        <v>3519</v>
      </c>
      <c r="E1120" s="46"/>
      <c r="F1120" s="46"/>
      <c r="G1120" s="46"/>
      <c r="H1120" s="46"/>
      <c r="I1120" s="46"/>
      <c r="J1120" s="46"/>
      <c r="K1120" s="46"/>
      <c r="L1120" s="47">
        <f>M1119</f>
        <v>38498.82</v>
      </c>
      <c r="M1120" s="47">
        <f t="shared" si="51"/>
        <v>38498.82</v>
      </c>
    </row>
    <row r="1121" spans="1:13" ht="15.45" customHeight="1" thickBot="1" x14ac:dyDescent="0.35">
      <c r="A1121" s="41"/>
      <c r="B1121" s="41"/>
      <c r="C1121" s="41"/>
      <c r="D1121" s="48" t="s">
        <v>3520</v>
      </c>
      <c r="E1121" s="49"/>
      <c r="F1121" s="49"/>
      <c r="G1121" s="49"/>
      <c r="H1121" s="49"/>
      <c r="I1121" s="49"/>
      <c r="J1121" s="49"/>
      <c r="K1121" s="49"/>
      <c r="L1121" s="50">
        <f>M1120</f>
        <v>38498.82</v>
      </c>
      <c r="M1121" s="50">
        <f t="shared" si="51"/>
        <v>38498.82</v>
      </c>
    </row>
    <row r="1122" spans="1:13" ht="15.45" customHeight="1" thickBot="1" x14ac:dyDescent="0.35">
      <c r="A1122" s="51" t="s">
        <v>3521</v>
      </c>
      <c r="B1122" s="51" t="s">
        <v>3522</v>
      </c>
      <c r="C1122" s="52"/>
      <c r="D1122" s="83" t="s">
        <v>3523</v>
      </c>
      <c r="E1122" s="83"/>
      <c r="F1122" s="83"/>
      <c r="G1122" s="83"/>
      <c r="H1122" s="83"/>
      <c r="I1122" s="83"/>
      <c r="J1122" s="83"/>
      <c r="K1122" s="52"/>
      <c r="L1122" s="53">
        <f>L1150</f>
        <v>37737.230000000003</v>
      </c>
      <c r="M1122" s="53">
        <f t="shared" si="51"/>
        <v>37737.230000000003</v>
      </c>
    </row>
    <row r="1123" spans="1:13" ht="15.45" customHeight="1" thickBot="1" x14ac:dyDescent="0.35">
      <c r="A1123" s="17" t="s">
        <v>3524</v>
      </c>
      <c r="B1123" s="17" t="s">
        <v>3525</v>
      </c>
      <c r="C1123" s="18"/>
      <c r="D1123" s="80" t="s">
        <v>3526</v>
      </c>
      <c r="E1123" s="80"/>
      <c r="F1123" s="80"/>
      <c r="G1123" s="80"/>
      <c r="H1123" s="80"/>
      <c r="I1123" s="80"/>
      <c r="J1123" s="80"/>
      <c r="K1123" s="18"/>
      <c r="L1123" s="19">
        <f>L1136</f>
        <v>4051.82</v>
      </c>
      <c r="M1123" s="19">
        <f t="shared" si="51"/>
        <v>4051.82</v>
      </c>
    </row>
    <row r="1124" spans="1:13" ht="15.45" customHeight="1" thickBot="1" x14ac:dyDescent="0.35">
      <c r="A1124" s="20" t="s">
        <v>3527</v>
      </c>
      <c r="B1124" s="20" t="s">
        <v>3528</v>
      </c>
      <c r="C1124" s="21"/>
      <c r="D1124" s="81" t="s">
        <v>3529</v>
      </c>
      <c r="E1124" s="81"/>
      <c r="F1124" s="81"/>
      <c r="G1124" s="81"/>
      <c r="H1124" s="81"/>
      <c r="I1124" s="81"/>
      <c r="J1124" s="81"/>
      <c r="K1124" s="21"/>
      <c r="L1124" s="22">
        <f>L1135</f>
        <v>4051.82</v>
      </c>
      <c r="M1124" s="22">
        <f t="shared" si="51"/>
        <v>4051.82</v>
      </c>
    </row>
    <row r="1125" spans="1:13" ht="30.6" customHeight="1" thickBot="1" x14ac:dyDescent="0.35">
      <c r="A1125" s="10" t="s">
        <v>3530</v>
      </c>
      <c r="B1125" s="5" t="s">
        <v>3531</v>
      </c>
      <c r="C1125" s="5" t="s">
        <v>3532</v>
      </c>
      <c r="D1125" s="82" t="s">
        <v>3533</v>
      </c>
      <c r="E1125" s="82"/>
      <c r="F1125" s="82"/>
      <c r="G1125" s="82"/>
      <c r="H1125" s="82"/>
      <c r="I1125" s="82"/>
      <c r="J1125" s="82"/>
      <c r="K1125" s="23">
        <f>SUM(K1127:K1128)</f>
        <v>933.59999999999991</v>
      </c>
      <c r="L1125" s="24">
        <f>L1134</f>
        <v>4.34</v>
      </c>
      <c r="M1125" s="24">
        <f>ROUND(K1125*L1125,2)</f>
        <v>4051.82</v>
      </c>
    </row>
    <row r="1126" spans="1:13" ht="15.15" customHeight="1" thickBot="1" x14ac:dyDescent="0.35">
      <c r="A1126" s="25"/>
      <c r="B1126" s="25"/>
      <c r="C1126" s="25"/>
      <c r="D1126" s="25"/>
      <c r="E1126" s="26"/>
      <c r="F1126" s="28" t="s">
        <v>3534</v>
      </c>
      <c r="G1126" s="28" t="s">
        <v>3535</v>
      </c>
      <c r="H1126" s="28" t="s">
        <v>3536</v>
      </c>
      <c r="I1126" s="28" t="s">
        <v>3537</v>
      </c>
      <c r="J1126" s="28" t="s">
        <v>3538</v>
      </c>
      <c r="K1126" s="28" t="s">
        <v>3539</v>
      </c>
      <c r="L1126" s="25"/>
      <c r="M1126" s="25"/>
    </row>
    <row r="1127" spans="1:13" ht="15.15" customHeight="1" thickBot="1" x14ac:dyDescent="0.35">
      <c r="A1127" s="25"/>
      <c r="B1127" s="25"/>
      <c r="C1127" s="25"/>
      <c r="D1127" s="29"/>
      <c r="E1127" s="30" t="s">
        <v>3540</v>
      </c>
      <c r="F1127" s="31"/>
      <c r="G1127" s="32">
        <v>40</v>
      </c>
      <c r="H1127" s="32"/>
      <c r="I1127" s="32">
        <v>7.78</v>
      </c>
      <c r="J1127" s="34">
        <f>ROUND(G1127*I1127,3)</f>
        <v>311.2</v>
      </c>
      <c r="K1127" s="57"/>
      <c r="L1127" s="25"/>
      <c r="M1127" s="25"/>
    </row>
    <row r="1128" spans="1:13" ht="21.3" customHeight="1" thickBot="1" x14ac:dyDescent="0.35">
      <c r="A1128" s="25"/>
      <c r="B1128" s="25"/>
      <c r="C1128" s="25"/>
      <c r="D1128" s="29"/>
      <c r="E1128" s="5" t="s">
        <v>3541</v>
      </c>
      <c r="F1128" s="3"/>
      <c r="G1128" s="23">
        <v>80</v>
      </c>
      <c r="H1128" s="23"/>
      <c r="I1128" s="23">
        <v>7.78</v>
      </c>
      <c r="J1128" s="33">
        <f>ROUND(G1128*I1128,3)</f>
        <v>622.4</v>
      </c>
      <c r="K1128" s="35">
        <f>SUM(J1127:J1128)</f>
        <v>933.59999999999991</v>
      </c>
      <c r="L1128" s="25"/>
      <c r="M1128" s="25"/>
    </row>
    <row r="1129" spans="1:13" ht="21.3" customHeight="1" thickBot="1" x14ac:dyDescent="0.35">
      <c r="A1129" s="5" t="s">
        <v>3542</v>
      </c>
      <c r="B1129" s="5" t="s">
        <v>3543</v>
      </c>
      <c r="C1129" s="5" t="s">
        <v>3544</v>
      </c>
      <c r="D1129" s="82" t="s">
        <v>3545</v>
      </c>
      <c r="E1129" s="82"/>
      <c r="F1129" s="82"/>
      <c r="G1129" s="82"/>
      <c r="H1129" s="82"/>
      <c r="I1129" s="82"/>
      <c r="J1129" s="82"/>
      <c r="K1129" s="23">
        <v>5.8000000000000003E-2</v>
      </c>
      <c r="L1129" s="23">
        <f>ROUND(3.71,3)</f>
        <v>3.71</v>
      </c>
      <c r="M1129" s="24">
        <f>ROUND(K1129*L1129,2)</f>
        <v>0.22</v>
      </c>
    </row>
    <row r="1130" spans="1:13" ht="21.3" customHeight="1" thickBot="1" x14ac:dyDescent="0.35">
      <c r="A1130" s="5" t="s">
        <v>3546</v>
      </c>
      <c r="B1130" s="5" t="s">
        <v>3547</v>
      </c>
      <c r="C1130" s="5" t="s">
        <v>3548</v>
      </c>
      <c r="D1130" s="82" t="s">
        <v>3549</v>
      </c>
      <c r="E1130" s="82"/>
      <c r="F1130" s="82"/>
      <c r="G1130" s="82"/>
      <c r="H1130" s="82"/>
      <c r="I1130" s="82"/>
      <c r="J1130" s="82"/>
      <c r="K1130" s="23">
        <v>0.2</v>
      </c>
      <c r="L1130" s="23">
        <f>ROUND(4.73,3)</f>
        <v>4.7300000000000004</v>
      </c>
      <c r="M1130" s="24">
        <f>ROUND(K1130*L1130,2)</f>
        <v>0.95</v>
      </c>
    </row>
    <row r="1131" spans="1:13" ht="15.15" customHeight="1" thickBot="1" x14ac:dyDescent="0.35">
      <c r="A1131" s="5" t="s">
        <v>3550</v>
      </c>
      <c r="B1131" s="5" t="s">
        <v>3551</v>
      </c>
      <c r="C1131" s="5" t="s">
        <v>3552</v>
      </c>
      <c r="D1131" s="82" t="s">
        <v>3553</v>
      </c>
      <c r="E1131" s="82"/>
      <c r="F1131" s="82"/>
      <c r="G1131" s="82"/>
      <c r="H1131" s="82"/>
      <c r="I1131" s="82"/>
      <c r="J1131" s="82"/>
      <c r="K1131" s="23">
        <v>6.5000000000000002E-2</v>
      </c>
      <c r="L1131" s="23">
        <f>ROUND(24.05,3)</f>
        <v>24.05</v>
      </c>
      <c r="M1131" s="24">
        <f>ROUND(K1131*L1131,2)</f>
        <v>1.56</v>
      </c>
    </row>
    <row r="1132" spans="1:13" ht="15.15" customHeight="1" thickBot="1" x14ac:dyDescent="0.35">
      <c r="A1132" s="5" t="s">
        <v>3554</v>
      </c>
      <c r="B1132" s="5" t="s">
        <v>3555</v>
      </c>
      <c r="C1132" s="5" t="s">
        <v>3556</v>
      </c>
      <c r="D1132" s="82" t="s">
        <v>3557</v>
      </c>
      <c r="E1132" s="82"/>
      <c r="F1132" s="82"/>
      <c r="G1132" s="82"/>
      <c r="H1132" s="82"/>
      <c r="I1132" s="82"/>
      <c r="J1132" s="82"/>
      <c r="K1132" s="23">
        <v>6.5000000000000002E-2</v>
      </c>
      <c r="L1132" s="23">
        <f>ROUND(21.51,3)</f>
        <v>21.51</v>
      </c>
      <c r="M1132" s="24">
        <f>ROUND(K1132*L1132,2)</f>
        <v>1.4</v>
      </c>
    </row>
    <row r="1133" spans="1:13" ht="15.15" customHeight="1" thickBot="1" x14ac:dyDescent="0.35">
      <c r="A1133" s="5" t="s">
        <v>3558</v>
      </c>
      <c r="B1133" s="5"/>
      <c r="C1133" s="5" t="s">
        <v>3559</v>
      </c>
      <c r="D1133" s="82" t="s">
        <v>3560</v>
      </c>
      <c r="E1133" s="82"/>
      <c r="F1133" s="82"/>
      <c r="G1133" s="82"/>
      <c r="H1133" s="82"/>
      <c r="I1133" s="82"/>
      <c r="J1133" s="82"/>
      <c r="K1133" s="23">
        <v>2</v>
      </c>
      <c r="L1133" s="23">
        <f>ROUND(4.13,3)</f>
        <v>4.13</v>
      </c>
      <c r="M1133" s="24">
        <f>ROUND((K1133*L1133)/100,2)</f>
        <v>0.08</v>
      </c>
    </row>
    <row r="1134" spans="1:13" ht="15.45" customHeight="1" thickBot="1" x14ac:dyDescent="0.35">
      <c r="A1134" s="37"/>
      <c r="B1134" s="37"/>
      <c r="C1134" s="37"/>
      <c r="D1134" s="38" t="s">
        <v>3561</v>
      </c>
      <c r="E1134" s="37"/>
      <c r="F1134" s="37"/>
      <c r="G1134" s="37"/>
      <c r="H1134" s="37"/>
      <c r="I1134" s="37"/>
      <c r="J1134" s="37"/>
      <c r="K1134" s="39">
        <v>933.6</v>
      </c>
      <c r="L1134" s="40">
        <f>ROUND((M1129+M1130+M1131+M1132+M1133)*(1+M2/100),2)</f>
        <v>4.34</v>
      </c>
      <c r="M1134" s="40">
        <f>ROUND(K1134*L1134,2)</f>
        <v>4051.82</v>
      </c>
    </row>
    <row r="1135" spans="1:13" ht="15.45" customHeight="1" thickBot="1" x14ac:dyDescent="0.35">
      <c r="A1135" s="41"/>
      <c r="B1135" s="41"/>
      <c r="C1135" s="41"/>
      <c r="D1135" s="42" t="s">
        <v>3562</v>
      </c>
      <c r="E1135" s="43"/>
      <c r="F1135" s="43"/>
      <c r="G1135" s="43"/>
      <c r="H1135" s="43"/>
      <c r="I1135" s="43"/>
      <c r="J1135" s="43"/>
      <c r="K1135" s="43"/>
      <c r="L1135" s="44">
        <f>M1125</f>
        <v>4051.82</v>
      </c>
      <c r="M1135" s="44">
        <f>ROUND(L1135,2)</f>
        <v>4051.82</v>
      </c>
    </row>
    <row r="1136" spans="1:13" ht="15.45" customHeight="1" thickBot="1" x14ac:dyDescent="0.35">
      <c r="A1136" s="41"/>
      <c r="B1136" s="41"/>
      <c r="C1136" s="41"/>
      <c r="D1136" s="45" t="s">
        <v>3563</v>
      </c>
      <c r="E1136" s="46"/>
      <c r="F1136" s="46"/>
      <c r="G1136" s="46"/>
      <c r="H1136" s="46"/>
      <c r="I1136" s="46"/>
      <c r="J1136" s="46"/>
      <c r="K1136" s="46"/>
      <c r="L1136" s="47">
        <f>M1135</f>
        <v>4051.82</v>
      </c>
      <c r="M1136" s="47">
        <f>ROUND(L1136,2)</f>
        <v>4051.82</v>
      </c>
    </row>
    <row r="1137" spans="1:13" ht="15.45" customHeight="1" thickBot="1" x14ac:dyDescent="0.35">
      <c r="A1137" s="62" t="s">
        <v>3564</v>
      </c>
      <c r="B1137" s="62" t="s">
        <v>3565</v>
      </c>
      <c r="C1137" s="63"/>
      <c r="D1137" s="86" t="s">
        <v>3566</v>
      </c>
      <c r="E1137" s="86"/>
      <c r="F1137" s="86"/>
      <c r="G1137" s="86"/>
      <c r="H1137" s="86"/>
      <c r="I1137" s="86"/>
      <c r="J1137" s="86"/>
      <c r="K1137" s="63"/>
      <c r="L1137" s="64">
        <f>L1149</f>
        <v>33685.410000000003</v>
      </c>
      <c r="M1137" s="64">
        <f>ROUND(L1137,2)</f>
        <v>33685.410000000003</v>
      </c>
    </row>
    <row r="1138" spans="1:13" ht="30.6" customHeight="1" thickBot="1" x14ac:dyDescent="0.35">
      <c r="A1138" s="10" t="s">
        <v>3567</v>
      </c>
      <c r="B1138" s="5" t="s">
        <v>3568</v>
      </c>
      <c r="C1138" s="5" t="s">
        <v>3569</v>
      </c>
      <c r="D1138" s="82" t="s">
        <v>3570</v>
      </c>
      <c r="E1138" s="82"/>
      <c r="F1138" s="82"/>
      <c r="G1138" s="82"/>
      <c r="H1138" s="82"/>
      <c r="I1138" s="82"/>
      <c r="J1138" s="82"/>
      <c r="K1138" s="23">
        <f>SUM(K1140:K1143)</f>
        <v>1763.634</v>
      </c>
      <c r="L1138" s="24">
        <f>L1148</f>
        <v>19.100000000000001</v>
      </c>
      <c r="M1138" s="24">
        <f>ROUND(K1138*L1138,2)</f>
        <v>33685.410000000003</v>
      </c>
    </row>
    <row r="1139" spans="1:13" ht="15.15" customHeight="1" thickBot="1" x14ac:dyDescent="0.35">
      <c r="A1139" s="25"/>
      <c r="B1139" s="25"/>
      <c r="C1139" s="25"/>
      <c r="D1139" s="25"/>
      <c r="E1139" s="26"/>
      <c r="F1139" s="28" t="s">
        <v>3571</v>
      </c>
      <c r="G1139" s="28" t="s">
        <v>3572</v>
      </c>
      <c r="H1139" s="28" t="s">
        <v>3573</v>
      </c>
      <c r="I1139" s="28" t="s">
        <v>3574</v>
      </c>
      <c r="J1139" s="28" t="s">
        <v>3575</v>
      </c>
      <c r="K1139" s="28" t="s">
        <v>3576</v>
      </c>
      <c r="L1139" s="25"/>
      <c r="M1139" s="25"/>
    </row>
    <row r="1140" spans="1:13" ht="15.15" customHeight="1" thickBot="1" x14ac:dyDescent="0.35">
      <c r="A1140" s="25"/>
      <c r="B1140" s="25"/>
      <c r="C1140" s="25"/>
      <c r="D1140" s="29"/>
      <c r="E1140" s="30" t="s">
        <v>3577</v>
      </c>
      <c r="F1140" s="31">
        <v>13</v>
      </c>
      <c r="G1140" s="32"/>
      <c r="H1140" s="32"/>
      <c r="I1140" s="32">
        <v>35.01</v>
      </c>
      <c r="J1140" s="34">
        <f>ROUND(F1140*I1140,3)</f>
        <v>455.13</v>
      </c>
      <c r="K1140" s="57"/>
      <c r="L1140" s="25"/>
      <c r="M1140" s="25"/>
    </row>
    <row r="1141" spans="1:13" ht="21.3" customHeight="1" thickBot="1" x14ac:dyDescent="0.35">
      <c r="A1141" s="25"/>
      <c r="B1141" s="25"/>
      <c r="C1141" s="25"/>
      <c r="D1141" s="29"/>
      <c r="E1141" s="5" t="s">
        <v>3578</v>
      </c>
      <c r="F1141" s="3"/>
      <c r="G1141" s="23">
        <v>99.59</v>
      </c>
      <c r="H1141" s="23"/>
      <c r="I1141" s="23">
        <v>1.73</v>
      </c>
      <c r="J1141" s="33">
        <f>ROUND(G1141*I1141,3)</f>
        <v>172.291</v>
      </c>
      <c r="K1141" s="25"/>
      <c r="L1141" s="25"/>
      <c r="M1141" s="25"/>
    </row>
    <row r="1142" spans="1:13" ht="21.3" customHeight="1" thickBot="1" x14ac:dyDescent="0.35">
      <c r="A1142" s="25"/>
      <c r="B1142" s="25"/>
      <c r="C1142" s="25"/>
      <c r="D1142" s="29"/>
      <c r="E1142" s="5" t="s">
        <v>3579</v>
      </c>
      <c r="F1142" s="3"/>
      <c r="G1142" s="23">
        <v>103.2</v>
      </c>
      <c r="H1142" s="23"/>
      <c r="I1142" s="23">
        <v>1.73</v>
      </c>
      <c r="J1142" s="33">
        <f>ROUND(G1142*I1142,3)</f>
        <v>178.536</v>
      </c>
      <c r="K1142" s="25"/>
      <c r="L1142" s="25"/>
      <c r="M1142" s="25"/>
    </row>
    <row r="1143" spans="1:13" ht="21.3" customHeight="1" thickBot="1" x14ac:dyDescent="0.35">
      <c r="A1143" s="25"/>
      <c r="B1143" s="25"/>
      <c r="C1143" s="25"/>
      <c r="D1143" s="29"/>
      <c r="E1143" s="5" t="s">
        <v>3580</v>
      </c>
      <c r="F1143" s="3"/>
      <c r="G1143" s="23">
        <v>514.88</v>
      </c>
      <c r="H1143" s="23"/>
      <c r="I1143" s="23">
        <v>1.86</v>
      </c>
      <c r="J1143" s="33">
        <f>ROUND(G1143*I1143,3)</f>
        <v>957.67700000000002</v>
      </c>
      <c r="K1143" s="35">
        <f>SUM(J1140:J1143)</f>
        <v>1763.634</v>
      </c>
      <c r="L1143" s="25"/>
      <c r="M1143" s="25"/>
    </row>
    <row r="1144" spans="1:13" ht="21.3" customHeight="1" thickBot="1" x14ac:dyDescent="0.35">
      <c r="A1144" s="5" t="s">
        <v>3581</v>
      </c>
      <c r="B1144" s="5" t="s">
        <v>3582</v>
      </c>
      <c r="C1144" s="5" t="s">
        <v>3583</v>
      </c>
      <c r="D1144" s="82" t="s">
        <v>3584</v>
      </c>
      <c r="E1144" s="82"/>
      <c r="F1144" s="82"/>
      <c r="G1144" s="82"/>
      <c r="H1144" s="82"/>
      <c r="I1144" s="82"/>
      <c r="J1144" s="82"/>
      <c r="K1144" s="23">
        <v>1.401</v>
      </c>
      <c r="L1144" s="23">
        <f>ROUND(8.096,3)</f>
        <v>8.0960000000000001</v>
      </c>
      <c r="M1144" s="24">
        <f>ROUND(K1144*L1144,2)</f>
        <v>11.34</v>
      </c>
    </row>
    <row r="1145" spans="1:13" ht="15.15" customHeight="1" thickBot="1" x14ac:dyDescent="0.35">
      <c r="A1145" s="5" t="s">
        <v>3585</v>
      </c>
      <c r="B1145" s="5" t="s">
        <v>3586</v>
      </c>
      <c r="C1145" s="5" t="s">
        <v>3587</v>
      </c>
      <c r="D1145" s="82" t="s">
        <v>3588</v>
      </c>
      <c r="E1145" s="82"/>
      <c r="F1145" s="82"/>
      <c r="G1145" s="82"/>
      <c r="H1145" s="82"/>
      <c r="I1145" s="82"/>
      <c r="J1145" s="82"/>
      <c r="K1145" s="23">
        <v>0.15</v>
      </c>
      <c r="L1145" s="23">
        <f>ROUND(24.05,3)</f>
        <v>24.05</v>
      </c>
      <c r="M1145" s="24">
        <f>ROUND(K1145*L1145,2)</f>
        <v>3.61</v>
      </c>
    </row>
    <row r="1146" spans="1:13" ht="15.15" customHeight="1" thickBot="1" x14ac:dyDescent="0.35">
      <c r="A1146" s="5" t="s">
        <v>3589</v>
      </c>
      <c r="B1146" s="5" t="s">
        <v>3590</v>
      </c>
      <c r="C1146" s="5" t="s">
        <v>3591</v>
      </c>
      <c r="D1146" s="82" t="s">
        <v>3592</v>
      </c>
      <c r="E1146" s="82"/>
      <c r="F1146" s="82"/>
      <c r="G1146" s="82"/>
      <c r="H1146" s="82"/>
      <c r="I1146" s="82"/>
      <c r="J1146" s="82"/>
      <c r="K1146" s="23">
        <v>0.15</v>
      </c>
      <c r="L1146" s="23">
        <f>ROUND(21.51,3)</f>
        <v>21.51</v>
      </c>
      <c r="M1146" s="24">
        <f>ROUND(K1146*L1146,2)</f>
        <v>3.23</v>
      </c>
    </row>
    <row r="1147" spans="1:13" ht="15.15" customHeight="1" thickBot="1" x14ac:dyDescent="0.35">
      <c r="A1147" s="5" t="s">
        <v>3593</v>
      </c>
      <c r="B1147" s="5"/>
      <c r="C1147" s="5" t="s">
        <v>3594</v>
      </c>
      <c r="D1147" s="82" t="s">
        <v>3595</v>
      </c>
      <c r="E1147" s="82"/>
      <c r="F1147" s="82"/>
      <c r="G1147" s="82"/>
      <c r="H1147" s="82"/>
      <c r="I1147" s="82"/>
      <c r="J1147" s="82"/>
      <c r="K1147" s="23">
        <v>2</v>
      </c>
      <c r="L1147" s="23">
        <f>ROUND(18.18,3)</f>
        <v>18.18</v>
      </c>
      <c r="M1147" s="24">
        <f>ROUND((K1147*L1147)/100,2)</f>
        <v>0.36</v>
      </c>
    </row>
    <row r="1148" spans="1:13" ht="15.45" customHeight="1" thickBot="1" x14ac:dyDescent="0.35">
      <c r="A1148" s="37"/>
      <c r="B1148" s="37"/>
      <c r="C1148" s="37"/>
      <c r="D1148" s="38" t="s">
        <v>3596</v>
      </c>
      <c r="E1148" s="37"/>
      <c r="F1148" s="37"/>
      <c r="G1148" s="37"/>
      <c r="H1148" s="37"/>
      <c r="I1148" s="37"/>
      <c r="J1148" s="37"/>
      <c r="K1148" s="39">
        <v>1763.634</v>
      </c>
      <c r="L1148" s="40">
        <f>ROUND((M1144+M1145+M1146+M1147)*(1+M2/100),2)</f>
        <v>19.100000000000001</v>
      </c>
      <c r="M1148" s="40">
        <f>ROUND(K1148*L1148,2)</f>
        <v>33685.410000000003</v>
      </c>
    </row>
    <row r="1149" spans="1:13" ht="15.45" customHeight="1" thickBot="1" x14ac:dyDescent="0.35">
      <c r="A1149" s="41"/>
      <c r="B1149" s="41"/>
      <c r="C1149" s="41"/>
      <c r="D1149" s="45" t="s">
        <v>3597</v>
      </c>
      <c r="E1149" s="46"/>
      <c r="F1149" s="46"/>
      <c r="G1149" s="46"/>
      <c r="H1149" s="46"/>
      <c r="I1149" s="46"/>
      <c r="J1149" s="46"/>
      <c r="K1149" s="46"/>
      <c r="L1149" s="47">
        <f>M1138</f>
        <v>33685.410000000003</v>
      </c>
      <c r="M1149" s="47">
        <f>ROUND(L1149,2)</f>
        <v>33685.410000000003</v>
      </c>
    </row>
    <row r="1150" spans="1:13" ht="15.45" customHeight="1" thickBot="1" x14ac:dyDescent="0.35">
      <c r="A1150" s="41"/>
      <c r="B1150" s="41"/>
      <c r="C1150" s="41"/>
      <c r="D1150" s="48" t="s">
        <v>3598</v>
      </c>
      <c r="E1150" s="49"/>
      <c r="F1150" s="49"/>
      <c r="G1150" s="49"/>
      <c r="H1150" s="49"/>
      <c r="I1150" s="49"/>
      <c r="J1150" s="49"/>
      <c r="K1150" s="49"/>
      <c r="L1150" s="50">
        <f>M1136+M1149</f>
        <v>37737.230000000003</v>
      </c>
      <c r="M1150" s="50">
        <f>ROUND(L1150,2)</f>
        <v>37737.230000000003</v>
      </c>
    </row>
    <row r="1151" spans="1:13" ht="15.45" customHeight="1" thickBot="1" x14ac:dyDescent="0.35">
      <c r="A1151" s="51" t="s">
        <v>3599</v>
      </c>
      <c r="B1151" s="51" t="s">
        <v>3600</v>
      </c>
      <c r="C1151" s="52"/>
      <c r="D1151" s="83" t="s">
        <v>3601</v>
      </c>
      <c r="E1151" s="83"/>
      <c r="F1151" s="83"/>
      <c r="G1151" s="83"/>
      <c r="H1151" s="83"/>
      <c r="I1151" s="83"/>
      <c r="J1151" s="83"/>
      <c r="K1151" s="52"/>
      <c r="L1151" s="53">
        <f>L1166</f>
        <v>1523.73</v>
      </c>
      <c r="M1151" s="53">
        <f>ROUND(L1151,2)</f>
        <v>1523.73</v>
      </c>
    </row>
    <row r="1152" spans="1:13" ht="15.45" customHeight="1" thickBot="1" x14ac:dyDescent="0.35">
      <c r="A1152" s="17" t="s">
        <v>3602</v>
      </c>
      <c r="B1152" s="17" t="s">
        <v>3603</v>
      </c>
      <c r="C1152" s="18"/>
      <c r="D1152" s="80" t="s">
        <v>3604</v>
      </c>
      <c r="E1152" s="80"/>
      <c r="F1152" s="80"/>
      <c r="G1152" s="80"/>
      <c r="H1152" s="80"/>
      <c r="I1152" s="80"/>
      <c r="J1152" s="80"/>
      <c r="K1152" s="18"/>
      <c r="L1152" s="19">
        <f>L1165</f>
        <v>1523.73</v>
      </c>
      <c r="M1152" s="19">
        <f>ROUND(L1152,2)</f>
        <v>1523.73</v>
      </c>
    </row>
    <row r="1153" spans="1:13" ht="15.45" customHeight="1" thickBot="1" x14ac:dyDescent="0.35">
      <c r="A1153" s="20" t="s">
        <v>3605</v>
      </c>
      <c r="B1153" s="20" t="s">
        <v>3606</v>
      </c>
      <c r="C1153" s="21"/>
      <c r="D1153" s="81" t="s">
        <v>3607</v>
      </c>
      <c r="E1153" s="81"/>
      <c r="F1153" s="81"/>
      <c r="G1153" s="81"/>
      <c r="H1153" s="81"/>
      <c r="I1153" s="81"/>
      <c r="J1153" s="81"/>
      <c r="K1153" s="21"/>
      <c r="L1153" s="22">
        <f>L1164</f>
        <v>1523.73</v>
      </c>
      <c r="M1153" s="22">
        <f>ROUND(L1153,2)</f>
        <v>1523.73</v>
      </c>
    </row>
    <row r="1154" spans="1:13" ht="39.75" customHeight="1" thickBot="1" x14ac:dyDescent="0.35">
      <c r="A1154" s="10" t="s">
        <v>3608</v>
      </c>
      <c r="B1154" s="5" t="s">
        <v>3609</v>
      </c>
      <c r="C1154" s="5" t="s">
        <v>3610</v>
      </c>
      <c r="D1154" s="82" t="s">
        <v>3611</v>
      </c>
      <c r="E1154" s="82"/>
      <c r="F1154" s="82"/>
      <c r="G1154" s="82"/>
      <c r="H1154" s="82"/>
      <c r="I1154" s="82"/>
      <c r="J1154" s="82"/>
      <c r="K1154" s="23">
        <f>SUM(K1156:K1156)</f>
        <v>39</v>
      </c>
      <c r="L1154" s="24">
        <f>L1163</f>
        <v>39.07</v>
      </c>
      <c r="M1154" s="24">
        <f>ROUND(K1154*L1154,2)</f>
        <v>1523.73</v>
      </c>
    </row>
    <row r="1155" spans="1:13" ht="15.15" customHeight="1" thickBot="1" x14ac:dyDescent="0.35">
      <c r="A1155" s="25"/>
      <c r="B1155" s="25"/>
      <c r="C1155" s="25"/>
      <c r="D1155" s="25"/>
      <c r="E1155" s="26"/>
      <c r="F1155" s="28" t="s">
        <v>3612</v>
      </c>
      <c r="G1155" s="28" t="s">
        <v>3613</v>
      </c>
      <c r="H1155" s="28" t="s">
        <v>3614</v>
      </c>
      <c r="I1155" s="28" t="s">
        <v>3615</v>
      </c>
      <c r="J1155" s="28" t="s">
        <v>3616</v>
      </c>
      <c r="K1155" s="28" t="s">
        <v>3617</v>
      </c>
      <c r="L1155" s="25"/>
      <c r="M1155" s="25"/>
    </row>
    <row r="1156" spans="1:13" ht="15.15" customHeight="1" thickBot="1" x14ac:dyDescent="0.35">
      <c r="A1156" s="25"/>
      <c r="B1156" s="25"/>
      <c r="C1156" s="25"/>
      <c r="D1156" s="29"/>
      <c r="E1156" s="30" t="s">
        <v>3618</v>
      </c>
      <c r="F1156" s="31"/>
      <c r="G1156" s="32">
        <v>39</v>
      </c>
      <c r="H1156" s="32"/>
      <c r="I1156" s="32"/>
      <c r="J1156" s="34">
        <f>ROUND(G1156,3)</f>
        <v>39</v>
      </c>
      <c r="K1156" s="36">
        <f>SUM(J1156:J1156)</f>
        <v>39</v>
      </c>
      <c r="L1156" s="25"/>
      <c r="M1156" s="25"/>
    </row>
    <row r="1157" spans="1:13" ht="24.3" customHeight="1" thickBot="1" x14ac:dyDescent="0.35">
      <c r="A1157" s="5" t="s">
        <v>3619</v>
      </c>
      <c r="B1157" s="5" t="s">
        <v>3620</v>
      </c>
      <c r="C1157" s="5" t="s">
        <v>3621</v>
      </c>
      <c r="D1157" s="82" t="s">
        <v>3622</v>
      </c>
      <c r="E1157" s="82"/>
      <c r="F1157" s="82"/>
      <c r="G1157" s="82"/>
      <c r="H1157" s="82"/>
      <c r="I1157" s="82"/>
      <c r="J1157" s="82"/>
      <c r="K1157" s="23">
        <v>7.8E-2</v>
      </c>
      <c r="L1157" s="23">
        <f>ROUND(34.014,3)</f>
        <v>34.014000000000003</v>
      </c>
      <c r="M1157" s="24">
        <f>ROUND(K1157*L1157,2)</f>
        <v>2.65</v>
      </c>
    </row>
    <row r="1158" spans="1:13" ht="21.3" customHeight="1" thickBot="1" x14ac:dyDescent="0.35">
      <c r="A1158" s="5" t="s">
        <v>3623</v>
      </c>
      <c r="B1158" s="5" t="s">
        <v>3624</v>
      </c>
      <c r="C1158" s="5" t="s">
        <v>3625</v>
      </c>
      <c r="D1158" s="82" t="s">
        <v>3626</v>
      </c>
      <c r="E1158" s="82"/>
      <c r="F1158" s="82"/>
      <c r="G1158" s="82"/>
      <c r="H1158" s="82"/>
      <c r="I1158" s="82"/>
      <c r="J1158" s="82"/>
      <c r="K1158" s="23">
        <v>1</v>
      </c>
      <c r="L1158" s="23">
        <f>ROUND(16.995,3)</f>
        <v>16.995000000000001</v>
      </c>
      <c r="M1158" s="24">
        <f>ROUND(K1158*L1158,2)</f>
        <v>17</v>
      </c>
    </row>
    <row r="1159" spans="1:13" ht="15.15" customHeight="1" thickBot="1" x14ac:dyDescent="0.35">
      <c r="A1159" s="5" t="s">
        <v>3627</v>
      </c>
      <c r="B1159" s="5" t="s">
        <v>3628</v>
      </c>
      <c r="C1159" s="5" t="s">
        <v>3629</v>
      </c>
      <c r="D1159" s="82" t="s">
        <v>3630</v>
      </c>
      <c r="E1159" s="82"/>
      <c r="F1159" s="82"/>
      <c r="G1159" s="82"/>
      <c r="H1159" s="82"/>
      <c r="I1159" s="82"/>
      <c r="J1159" s="82"/>
      <c r="K1159" s="23">
        <v>0.2</v>
      </c>
      <c r="L1159" s="23">
        <f>ROUND(35.139,3)</f>
        <v>35.139000000000003</v>
      </c>
      <c r="M1159" s="24">
        <f>ROUND(K1159*L1159,2)</f>
        <v>7.03</v>
      </c>
    </row>
    <row r="1160" spans="1:13" ht="15.15" customHeight="1" thickBot="1" x14ac:dyDescent="0.35">
      <c r="A1160" s="5" t="s">
        <v>3631</v>
      </c>
      <c r="B1160" s="5" t="s">
        <v>3632</v>
      </c>
      <c r="C1160" s="5" t="s">
        <v>3633</v>
      </c>
      <c r="D1160" s="82" t="s">
        <v>3634</v>
      </c>
      <c r="E1160" s="82"/>
      <c r="F1160" s="82"/>
      <c r="G1160" s="82"/>
      <c r="H1160" s="82"/>
      <c r="I1160" s="82"/>
      <c r="J1160" s="82"/>
      <c r="K1160" s="23">
        <v>0.24099999999999999</v>
      </c>
      <c r="L1160" s="23">
        <f>ROUND(30,3)</f>
        <v>30</v>
      </c>
      <c r="M1160" s="24">
        <f>ROUND(K1160*L1160,2)</f>
        <v>7.23</v>
      </c>
    </row>
    <row r="1161" spans="1:13" ht="15.15" customHeight="1" thickBot="1" x14ac:dyDescent="0.35">
      <c r="A1161" s="5" t="s">
        <v>3635</v>
      </c>
      <c r="B1161" s="5" t="s">
        <v>3636</v>
      </c>
      <c r="C1161" s="5" t="s">
        <v>3637</v>
      </c>
      <c r="D1161" s="82" t="s">
        <v>3638</v>
      </c>
      <c r="E1161" s="82"/>
      <c r="F1161" s="82"/>
      <c r="G1161" s="82"/>
      <c r="H1161" s="82"/>
      <c r="I1161" s="82"/>
      <c r="J1161" s="82"/>
      <c r="K1161" s="23">
        <v>0.126</v>
      </c>
      <c r="L1161" s="23">
        <f>ROUND(26,3)</f>
        <v>26</v>
      </c>
      <c r="M1161" s="24">
        <f>ROUND(K1161*L1161,2)</f>
        <v>3.28</v>
      </c>
    </row>
    <row r="1162" spans="1:13" ht="15.15" customHeight="1" thickBot="1" x14ac:dyDescent="0.35">
      <c r="A1162" s="5" t="s">
        <v>3639</v>
      </c>
      <c r="B1162" s="5"/>
      <c r="C1162" s="5" t="s">
        <v>3640</v>
      </c>
      <c r="D1162" s="82" t="s">
        <v>3641</v>
      </c>
      <c r="E1162" s="82"/>
      <c r="F1162" s="82"/>
      <c r="G1162" s="82"/>
      <c r="H1162" s="82"/>
      <c r="I1162" s="82"/>
      <c r="J1162" s="82"/>
      <c r="K1162" s="23">
        <v>2</v>
      </c>
      <c r="L1162" s="23">
        <f>ROUND(37.19,3)</f>
        <v>37.19</v>
      </c>
      <c r="M1162" s="24">
        <f>ROUND((K1162*L1162)/100,2)</f>
        <v>0.74</v>
      </c>
    </row>
    <row r="1163" spans="1:13" ht="15.45" customHeight="1" thickBot="1" x14ac:dyDescent="0.35">
      <c r="A1163" s="37"/>
      <c r="B1163" s="37"/>
      <c r="C1163" s="37"/>
      <c r="D1163" s="38" t="s">
        <v>3642</v>
      </c>
      <c r="E1163" s="37"/>
      <c r="F1163" s="37"/>
      <c r="G1163" s="37"/>
      <c r="H1163" s="37"/>
      <c r="I1163" s="37"/>
      <c r="J1163" s="37"/>
      <c r="K1163" s="39">
        <v>39</v>
      </c>
      <c r="L1163" s="40">
        <f>ROUND((M1157+M1158+M1159+M1160+M1161+M1162)*(1+M2/100),2)</f>
        <v>39.07</v>
      </c>
      <c r="M1163" s="40">
        <f>ROUND(K1163*L1163,2)</f>
        <v>1523.73</v>
      </c>
    </row>
    <row r="1164" spans="1:13" ht="15.45" customHeight="1" thickBot="1" x14ac:dyDescent="0.35">
      <c r="A1164" s="41"/>
      <c r="B1164" s="41"/>
      <c r="C1164" s="41"/>
      <c r="D1164" s="42" t="s">
        <v>3643</v>
      </c>
      <c r="E1164" s="43"/>
      <c r="F1164" s="43"/>
      <c r="G1164" s="43"/>
      <c r="H1164" s="43"/>
      <c r="I1164" s="43"/>
      <c r="J1164" s="43"/>
      <c r="K1164" s="43"/>
      <c r="L1164" s="44">
        <f>M1154</f>
        <v>1523.73</v>
      </c>
      <c r="M1164" s="44">
        <f t="shared" ref="M1164:M1169" si="52">ROUND(L1164,2)</f>
        <v>1523.73</v>
      </c>
    </row>
    <row r="1165" spans="1:13" ht="15.45" customHeight="1" thickBot="1" x14ac:dyDescent="0.35">
      <c r="A1165" s="41"/>
      <c r="B1165" s="41"/>
      <c r="C1165" s="41"/>
      <c r="D1165" s="45" t="s">
        <v>3644</v>
      </c>
      <c r="E1165" s="46"/>
      <c r="F1165" s="46"/>
      <c r="G1165" s="46"/>
      <c r="H1165" s="46"/>
      <c r="I1165" s="46"/>
      <c r="J1165" s="46"/>
      <c r="K1165" s="46"/>
      <c r="L1165" s="47">
        <f>M1164</f>
        <v>1523.73</v>
      </c>
      <c r="M1165" s="47">
        <f t="shared" si="52"/>
        <v>1523.73</v>
      </c>
    </row>
    <row r="1166" spans="1:13" ht="15.45" customHeight="1" thickBot="1" x14ac:dyDescent="0.35">
      <c r="A1166" s="41"/>
      <c r="B1166" s="41"/>
      <c r="C1166" s="41"/>
      <c r="D1166" s="48" t="s">
        <v>3645</v>
      </c>
      <c r="E1166" s="49"/>
      <c r="F1166" s="49"/>
      <c r="G1166" s="49"/>
      <c r="H1166" s="49"/>
      <c r="I1166" s="49"/>
      <c r="J1166" s="49"/>
      <c r="K1166" s="49"/>
      <c r="L1166" s="50">
        <f>M1165</f>
        <v>1523.73</v>
      </c>
      <c r="M1166" s="50">
        <f t="shared" si="52"/>
        <v>1523.73</v>
      </c>
    </row>
    <row r="1167" spans="1:13" ht="15.45" customHeight="1" thickBot="1" x14ac:dyDescent="0.35">
      <c r="A1167" s="51" t="s">
        <v>3646</v>
      </c>
      <c r="B1167" s="51" t="s">
        <v>3647</v>
      </c>
      <c r="C1167" s="52"/>
      <c r="D1167" s="83" t="s">
        <v>3648</v>
      </c>
      <c r="E1167" s="83"/>
      <c r="F1167" s="83"/>
      <c r="G1167" s="83"/>
      <c r="H1167" s="83"/>
      <c r="I1167" s="83"/>
      <c r="J1167" s="83"/>
      <c r="K1167" s="52"/>
      <c r="L1167" s="53">
        <f>L1212</f>
        <v>28058.3</v>
      </c>
      <c r="M1167" s="53">
        <f t="shared" si="52"/>
        <v>28058.3</v>
      </c>
    </row>
    <row r="1168" spans="1:13" ht="15.45" customHeight="1" thickBot="1" x14ac:dyDescent="0.35">
      <c r="A1168" s="17" t="s">
        <v>3649</v>
      </c>
      <c r="B1168" s="17" t="s">
        <v>3650</v>
      </c>
      <c r="C1168" s="18"/>
      <c r="D1168" s="80" t="s">
        <v>3651</v>
      </c>
      <c r="E1168" s="80"/>
      <c r="F1168" s="80"/>
      <c r="G1168" s="80"/>
      <c r="H1168" s="80"/>
      <c r="I1168" s="80"/>
      <c r="J1168" s="80"/>
      <c r="K1168" s="18"/>
      <c r="L1168" s="19">
        <f>L1191</f>
        <v>27055.1</v>
      </c>
      <c r="M1168" s="19">
        <f t="shared" si="52"/>
        <v>27055.1</v>
      </c>
    </row>
    <row r="1169" spans="1:13" ht="15.45" customHeight="1" thickBot="1" x14ac:dyDescent="0.35">
      <c r="A1169" s="20" t="s">
        <v>3652</v>
      </c>
      <c r="B1169" s="20" t="s">
        <v>3653</v>
      </c>
      <c r="C1169" s="21"/>
      <c r="D1169" s="81" t="s">
        <v>3654</v>
      </c>
      <c r="E1169" s="81"/>
      <c r="F1169" s="81"/>
      <c r="G1169" s="81"/>
      <c r="H1169" s="81"/>
      <c r="I1169" s="81"/>
      <c r="J1169" s="81"/>
      <c r="K1169" s="21"/>
      <c r="L1169" s="22">
        <f>L1179</f>
        <v>18061.11</v>
      </c>
      <c r="M1169" s="22">
        <f t="shared" si="52"/>
        <v>18061.11</v>
      </c>
    </row>
    <row r="1170" spans="1:13" ht="30.6" customHeight="1" thickBot="1" x14ac:dyDescent="0.35">
      <c r="A1170" s="10" t="s">
        <v>3655</v>
      </c>
      <c r="B1170" s="5" t="s">
        <v>3656</v>
      </c>
      <c r="C1170" s="5" t="s">
        <v>3657</v>
      </c>
      <c r="D1170" s="82" t="s">
        <v>3658</v>
      </c>
      <c r="E1170" s="82"/>
      <c r="F1170" s="82"/>
      <c r="G1170" s="82"/>
      <c r="H1170" s="82"/>
      <c r="I1170" s="82"/>
      <c r="J1170" s="82"/>
      <c r="K1170" s="23">
        <f>SUM(K1172:K1175)</f>
        <v>7312.1900000000005</v>
      </c>
      <c r="L1170" s="24">
        <f>L1178</f>
        <v>2.4700000000000002</v>
      </c>
      <c r="M1170" s="24">
        <f>ROUND(K1170*L1170,2)</f>
        <v>18061.11</v>
      </c>
    </row>
    <row r="1171" spans="1:13" ht="15.15" customHeight="1" thickBot="1" x14ac:dyDescent="0.35">
      <c r="A1171" s="25"/>
      <c r="B1171" s="25"/>
      <c r="C1171" s="25"/>
      <c r="D1171" s="25"/>
      <c r="E1171" s="26"/>
      <c r="F1171" s="28" t="s">
        <v>3659</v>
      </c>
      <c r="G1171" s="28" t="s">
        <v>3660</v>
      </c>
      <c r="H1171" s="28" t="s">
        <v>3661</v>
      </c>
      <c r="I1171" s="28" t="s">
        <v>3662</v>
      </c>
      <c r="J1171" s="28" t="s">
        <v>3663</v>
      </c>
      <c r="K1171" s="28" t="s">
        <v>3664</v>
      </c>
      <c r="L1171" s="25"/>
      <c r="M1171" s="25"/>
    </row>
    <row r="1172" spans="1:13" ht="15.15" customHeight="1" thickBot="1" x14ac:dyDescent="0.35">
      <c r="A1172" s="25"/>
      <c r="B1172" s="25"/>
      <c r="C1172" s="25"/>
      <c r="D1172" s="29"/>
      <c r="E1172" s="30" t="s">
        <v>3665</v>
      </c>
      <c r="F1172" s="31"/>
      <c r="G1172" s="32"/>
      <c r="H1172" s="32"/>
      <c r="I1172" s="32">
        <v>4493.55</v>
      </c>
      <c r="J1172" s="34">
        <f>ROUND(I1172,3)</f>
        <v>4493.55</v>
      </c>
      <c r="K1172" s="57"/>
      <c r="L1172" s="25"/>
      <c r="M1172" s="25"/>
    </row>
    <row r="1173" spans="1:13" ht="15.15" customHeight="1" thickBot="1" x14ac:dyDescent="0.35">
      <c r="A1173" s="25"/>
      <c r="B1173" s="25"/>
      <c r="C1173" s="25"/>
      <c r="D1173" s="29"/>
      <c r="E1173" s="5" t="s">
        <v>3666</v>
      </c>
      <c r="F1173" s="3"/>
      <c r="G1173" s="23"/>
      <c r="H1173" s="23"/>
      <c r="I1173" s="23">
        <v>873.93</v>
      </c>
      <c r="J1173" s="33">
        <f>ROUND(I1173,3)</f>
        <v>873.93</v>
      </c>
      <c r="K1173" s="25"/>
      <c r="L1173" s="25"/>
      <c r="M1173" s="25"/>
    </row>
    <row r="1174" spans="1:13" ht="21.3" customHeight="1" thickBot="1" x14ac:dyDescent="0.35">
      <c r="A1174" s="25"/>
      <c r="B1174" s="25"/>
      <c r="C1174" s="25"/>
      <c r="D1174" s="29"/>
      <c r="E1174" s="5" t="s">
        <v>3667</v>
      </c>
      <c r="F1174" s="3"/>
      <c r="G1174" s="23"/>
      <c r="H1174" s="23"/>
      <c r="I1174" s="23">
        <v>482.27</v>
      </c>
      <c r="J1174" s="33">
        <f>ROUND(I1174,3)</f>
        <v>482.27</v>
      </c>
      <c r="K1174" s="25"/>
      <c r="L1174" s="25"/>
      <c r="M1174" s="25"/>
    </row>
    <row r="1175" spans="1:13" ht="15.15" customHeight="1" thickBot="1" x14ac:dyDescent="0.35">
      <c r="A1175" s="25"/>
      <c r="B1175" s="25"/>
      <c r="C1175" s="25"/>
      <c r="D1175" s="29"/>
      <c r="E1175" s="5" t="s">
        <v>3668</v>
      </c>
      <c r="F1175" s="3"/>
      <c r="G1175" s="23"/>
      <c r="H1175" s="23"/>
      <c r="I1175" s="23">
        <v>1462.44</v>
      </c>
      <c r="J1175" s="33">
        <f>ROUND(I1175,3)</f>
        <v>1462.44</v>
      </c>
      <c r="K1175" s="35">
        <f>SUM(J1172:J1175)</f>
        <v>7312.1900000000005</v>
      </c>
      <c r="L1175" s="25"/>
      <c r="M1175" s="25"/>
    </row>
    <row r="1176" spans="1:13" ht="15.15" customHeight="1" thickBot="1" x14ac:dyDescent="0.35">
      <c r="A1176" s="5" t="s">
        <v>3669</v>
      </c>
      <c r="B1176" s="5" t="s">
        <v>3670</v>
      </c>
      <c r="C1176" s="5" t="s">
        <v>3671</v>
      </c>
      <c r="D1176" s="82" t="s">
        <v>3672</v>
      </c>
      <c r="E1176" s="82"/>
      <c r="F1176" s="82"/>
      <c r="G1176" s="82"/>
      <c r="H1176" s="82"/>
      <c r="I1176" s="82"/>
      <c r="J1176" s="82"/>
      <c r="K1176" s="23">
        <v>0.1</v>
      </c>
      <c r="L1176" s="23">
        <f>ROUND(23.515,3)</f>
        <v>23.515000000000001</v>
      </c>
      <c r="M1176" s="24">
        <f>ROUND(K1176*L1176,2)</f>
        <v>2.35</v>
      </c>
    </row>
    <row r="1177" spans="1:13" ht="15.15" customHeight="1" thickBot="1" x14ac:dyDescent="0.35">
      <c r="A1177" s="5" t="s">
        <v>3673</v>
      </c>
      <c r="B1177" s="5"/>
      <c r="C1177" s="5" t="s">
        <v>3674</v>
      </c>
      <c r="D1177" s="82" t="s">
        <v>3675</v>
      </c>
      <c r="E1177" s="82"/>
      <c r="F1177" s="82"/>
      <c r="G1177" s="82"/>
      <c r="H1177" s="82"/>
      <c r="I1177" s="82"/>
      <c r="J1177" s="82"/>
      <c r="K1177" s="23">
        <v>2</v>
      </c>
      <c r="L1177" s="23">
        <f>ROUND(2.35,3)</f>
        <v>2.35</v>
      </c>
      <c r="M1177" s="24">
        <f>ROUND((K1177*L1177)/100,2)</f>
        <v>0.05</v>
      </c>
    </row>
    <row r="1178" spans="1:13" ht="15.45" customHeight="1" thickBot="1" x14ac:dyDescent="0.35">
      <c r="A1178" s="37"/>
      <c r="B1178" s="37"/>
      <c r="C1178" s="37"/>
      <c r="D1178" s="38" t="s">
        <v>3676</v>
      </c>
      <c r="E1178" s="37"/>
      <c r="F1178" s="37"/>
      <c r="G1178" s="37"/>
      <c r="H1178" s="37"/>
      <c r="I1178" s="37"/>
      <c r="J1178" s="37"/>
      <c r="K1178" s="39">
        <v>7312.19</v>
      </c>
      <c r="L1178" s="40">
        <f>ROUND((M1176+M1177)*(1+M2/100),2)</f>
        <v>2.4700000000000002</v>
      </c>
      <c r="M1178" s="40">
        <f>ROUND(K1178*L1178,2)</f>
        <v>18061.11</v>
      </c>
    </row>
    <row r="1179" spans="1:13" ht="15.45" customHeight="1" thickBot="1" x14ac:dyDescent="0.35">
      <c r="A1179" s="41"/>
      <c r="B1179" s="41"/>
      <c r="C1179" s="41"/>
      <c r="D1179" s="42" t="s">
        <v>3677</v>
      </c>
      <c r="E1179" s="43"/>
      <c r="F1179" s="43"/>
      <c r="G1179" s="43"/>
      <c r="H1179" s="43"/>
      <c r="I1179" s="43"/>
      <c r="J1179" s="43"/>
      <c r="K1179" s="43"/>
      <c r="L1179" s="44">
        <f>M1170</f>
        <v>18061.11</v>
      </c>
      <c r="M1179" s="44">
        <f>ROUND(L1179,2)</f>
        <v>18061.11</v>
      </c>
    </row>
    <row r="1180" spans="1:13" ht="15.45" customHeight="1" thickBot="1" x14ac:dyDescent="0.35">
      <c r="A1180" s="54" t="s">
        <v>3678</v>
      </c>
      <c r="B1180" s="54" t="s">
        <v>3679</v>
      </c>
      <c r="C1180" s="55"/>
      <c r="D1180" s="84" t="s">
        <v>3680</v>
      </c>
      <c r="E1180" s="84"/>
      <c r="F1180" s="84"/>
      <c r="G1180" s="84"/>
      <c r="H1180" s="84"/>
      <c r="I1180" s="84"/>
      <c r="J1180" s="84"/>
      <c r="K1180" s="55"/>
      <c r="L1180" s="56">
        <f>L1190</f>
        <v>8993.99</v>
      </c>
      <c r="M1180" s="56">
        <f>ROUND(L1180,2)</f>
        <v>8993.99</v>
      </c>
    </row>
    <row r="1181" spans="1:13" ht="21.3" customHeight="1" thickBot="1" x14ac:dyDescent="0.35">
      <c r="A1181" s="10" t="s">
        <v>3681</v>
      </c>
      <c r="B1181" s="5" t="s">
        <v>3682</v>
      </c>
      <c r="C1181" s="5" t="s">
        <v>3683</v>
      </c>
      <c r="D1181" s="82" t="s">
        <v>3684</v>
      </c>
      <c r="E1181" s="82"/>
      <c r="F1181" s="82"/>
      <c r="G1181" s="82"/>
      <c r="H1181" s="82"/>
      <c r="I1181" s="82"/>
      <c r="J1181" s="82"/>
      <c r="K1181" s="23">
        <f>SUM(K1183:K1186)</f>
        <v>7312.1900000000005</v>
      </c>
      <c r="L1181" s="24">
        <f>L1189</f>
        <v>1.23</v>
      </c>
      <c r="M1181" s="24">
        <f>ROUND(K1181*L1181,2)</f>
        <v>8993.99</v>
      </c>
    </row>
    <row r="1182" spans="1:13" ht="15.15" customHeight="1" thickBot="1" x14ac:dyDescent="0.35">
      <c r="A1182" s="25"/>
      <c r="B1182" s="25"/>
      <c r="C1182" s="25"/>
      <c r="D1182" s="25"/>
      <c r="E1182" s="26"/>
      <c r="F1182" s="28" t="s">
        <v>3685</v>
      </c>
      <c r="G1182" s="28" t="s">
        <v>3686</v>
      </c>
      <c r="H1182" s="28" t="s">
        <v>3687</v>
      </c>
      <c r="I1182" s="28" t="s">
        <v>3688</v>
      </c>
      <c r="J1182" s="28" t="s">
        <v>3689</v>
      </c>
      <c r="K1182" s="28" t="s">
        <v>3690</v>
      </c>
      <c r="L1182" s="25"/>
      <c r="M1182" s="25"/>
    </row>
    <row r="1183" spans="1:13" ht="15.15" customHeight="1" thickBot="1" x14ac:dyDescent="0.35">
      <c r="A1183" s="25"/>
      <c r="B1183" s="25"/>
      <c r="C1183" s="25"/>
      <c r="D1183" s="29"/>
      <c r="E1183" s="30" t="s">
        <v>3691</v>
      </c>
      <c r="F1183" s="31"/>
      <c r="G1183" s="32"/>
      <c r="H1183" s="32"/>
      <c r="I1183" s="32">
        <v>4493.55</v>
      </c>
      <c r="J1183" s="34">
        <f>ROUND(I1183,3)</f>
        <v>4493.55</v>
      </c>
      <c r="K1183" s="57"/>
      <c r="L1183" s="25"/>
      <c r="M1183" s="25"/>
    </row>
    <row r="1184" spans="1:13" ht="15.15" customHeight="1" thickBot="1" x14ac:dyDescent="0.35">
      <c r="A1184" s="25"/>
      <c r="B1184" s="25"/>
      <c r="C1184" s="25"/>
      <c r="D1184" s="29"/>
      <c r="E1184" s="5" t="s">
        <v>3692</v>
      </c>
      <c r="F1184" s="3"/>
      <c r="G1184" s="23"/>
      <c r="H1184" s="23"/>
      <c r="I1184" s="23">
        <v>873.93</v>
      </c>
      <c r="J1184" s="33">
        <f>ROUND(I1184,3)</f>
        <v>873.93</v>
      </c>
      <c r="K1184" s="25"/>
      <c r="L1184" s="25"/>
      <c r="M1184" s="25"/>
    </row>
    <row r="1185" spans="1:13" ht="21.3" customHeight="1" thickBot="1" x14ac:dyDescent="0.35">
      <c r="A1185" s="25"/>
      <c r="B1185" s="25"/>
      <c r="C1185" s="25"/>
      <c r="D1185" s="29"/>
      <c r="E1185" s="5" t="s">
        <v>3693</v>
      </c>
      <c r="F1185" s="3"/>
      <c r="G1185" s="23"/>
      <c r="H1185" s="23"/>
      <c r="I1185" s="23">
        <v>482.27</v>
      </c>
      <c r="J1185" s="33">
        <f>ROUND(I1185,3)</f>
        <v>482.27</v>
      </c>
      <c r="K1185" s="25"/>
      <c r="L1185" s="25"/>
      <c r="M1185" s="25"/>
    </row>
    <row r="1186" spans="1:13" ht="15.15" customHeight="1" thickBot="1" x14ac:dyDescent="0.35">
      <c r="A1186" s="25"/>
      <c r="B1186" s="25"/>
      <c r="C1186" s="25"/>
      <c r="D1186" s="29"/>
      <c r="E1186" s="5" t="s">
        <v>3694</v>
      </c>
      <c r="F1186" s="3"/>
      <c r="G1186" s="23"/>
      <c r="H1186" s="23"/>
      <c r="I1186" s="23">
        <v>1462.44</v>
      </c>
      <c r="J1186" s="33">
        <f>ROUND(I1186,3)</f>
        <v>1462.44</v>
      </c>
      <c r="K1186" s="35">
        <f>SUM(J1183:J1186)</f>
        <v>7312.1900000000005</v>
      </c>
      <c r="L1186" s="25"/>
      <c r="M1186" s="25"/>
    </row>
    <row r="1187" spans="1:13" ht="21.3" customHeight="1" thickBot="1" x14ac:dyDescent="0.35">
      <c r="A1187" s="5" t="s">
        <v>3695</v>
      </c>
      <c r="B1187" s="5" t="s">
        <v>3696</v>
      </c>
      <c r="C1187" s="5" t="s">
        <v>3697</v>
      </c>
      <c r="D1187" s="82" t="s">
        <v>3698</v>
      </c>
      <c r="E1187" s="82"/>
      <c r="F1187" s="82"/>
      <c r="G1187" s="82"/>
      <c r="H1187" s="82"/>
      <c r="I1187" s="82"/>
      <c r="J1187" s="82"/>
      <c r="K1187" s="23">
        <v>1.0489999999999999</v>
      </c>
      <c r="L1187" s="23">
        <f>ROUND(1.12,3)</f>
        <v>1.1200000000000001</v>
      </c>
      <c r="M1187" s="24">
        <f>ROUND(K1187*L1187,2)</f>
        <v>1.17</v>
      </c>
    </row>
    <row r="1188" spans="1:13" ht="15.15" customHeight="1" thickBot="1" x14ac:dyDescent="0.35">
      <c r="A1188" s="5" t="s">
        <v>3699</v>
      </c>
      <c r="B1188" s="5"/>
      <c r="C1188" s="5" t="s">
        <v>3700</v>
      </c>
      <c r="D1188" s="82" t="s">
        <v>3701</v>
      </c>
      <c r="E1188" s="82"/>
      <c r="F1188" s="82"/>
      <c r="G1188" s="82"/>
      <c r="H1188" s="82"/>
      <c r="I1188" s="82"/>
      <c r="J1188" s="82"/>
      <c r="K1188" s="23">
        <v>2</v>
      </c>
      <c r="L1188" s="23">
        <f>ROUND(1.17,3)</f>
        <v>1.17</v>
      </c>
      <c r="M1188" s="24">
        <f>ROUND((K1188*L1188)/100,2)</f>
        <v>0.02</v>
      </c>
    </row>
    <row r="1189" spans="1:13" ht="15.45" customHeight="1" thickBot="1" x14ac:dyDescent="0.35">
      <c r="A1189" s="37"/>
      <c r="B1189" s="37"/>
      <c r="C1189" s="37"/>
      <c r="D1189" s="38" t="s">
        <v>3702</v>
      </c>
      <c r="E1189" s="37"/>
      <c r="F1189" s="37"/>
      <c r="G1189" s="37"/>
      <c r="H1189" s="37"/>
      <c r="I1189" s="37"/>
      <c r="J1189" s="37"/>
      <c r="K1189" s="39">
        <v>7312.19</v>
      </c>
      <c r="L1189" s="40">
        <f>ROUND((M1187+M1188)*(1+M2/100),2)</f>
        <v>1.23</v>
      </c>
      <c r="M1189" s="40">
        <f>ROUND(K1189*L1189,2)</f>
        <v>8993.99</v>
      </c>
    </row>
    <row r="1190" spans="1:13" ht="15.45" customHeight="1" thickBot="1" x14ac:dyDescent="0.35">
      <c r="A1190" s="41"/>
      <c r="B1190" s="41"/>
      <c r="C1190" s="41"/>
      <c r="D1190" s="42" t="s">
        <v>3703</v>
      </c>
      <c r="E1190" s="43"/>
      <c r="F1190" s="43"/>
      <c r="G1190" s="43"/>
      <c r="H1190" s="43"/>
      <c r="I1190" s="43"/>
      <c r="J1190" s="43"/>
      <c r="K1190" s="43"/>
      <c r="L1190" s="44">
        <f>M1181</f>
        <v>8993.99</v>
      </c>
      <c r="M1190" s="44">
        <f>ROUND(L1190,2)</f>
        <v>8993.99</v>
      </c>
    </row>
    <row r="1191" spans="1:13" ht="15.45" customHeight="1" thickBot="1" x14ac:dyDescent="0.35">
      <c r="A1191" s="41"/>
      <c r="B1191" s="41"/>
      <c r="C1191" s="41"/>
      <c r="D1191" s="45" t="s">
        <v>3704</v>
      </c>
      <c r="E1191" s="46"/>
      <c r="F1191" s="46"/>
      <c r="G1191" s="46"/>
      <c r="H1191" s="46"/>
      <c r="I1191" s="46"/>
      <c r="J1191" s="46"/>
      <c r="K1191" s="46"/>
      <c r="L1191" s="47">
        <f>M1179+M1190</f>
        <v>27055.1</v>
      </c>
      <c r="M1191" s="47">
        <f>ROUND(L1191,2)</f>
        <v>27055.1</v>
      </c>
    </row>
    <row r="1192" spans="1:13" ht="15.45" customHeight="1" thickBot="1" x14ac:dyDescent="0.35">
      <c r="A1192" s="62" t="s">
        <v>3705</v>
      </c>
      <c r="B1192" s="62" t="s">
        <v>3706</v>
      </c>
      <c r="C1192" s="63"/>
      <c r="D1192" s="86" t="s">
        <v>3707</v>
      </c>
      <c r="E1192" s="86"/>
      <c r="F1192" s="86"/>
      <c r="G1192" s="86"/>
      <c r="H1192" s="86"/>
      <c r="I1192" s="86"/>
      <c r="J1192" s="86"/>
      <c r="K1192" s="63"/>
      <c r="L1192" s="64">
        <f>L1211</f>
        <v>1003.2</v>
      </c>
      <c r="M1192" s="64">
        <f>ROUND(L1192,2)</f>
        <v>1003.2</v>
      </c>
    </row>
    <row r="1193" spans="1:13" ht="15.45" customHeight="1" thickBot="1" x14ac:dyDescent="0.35">
      <c r="A1193" s="20" t="s">
        <v>3708</v>
      </c>
      <c r="B1193" s="20" t="s">
        <v>3709</v>
      </c>
      <c r="C1193" s="21"/>
      <c r="D1193" s="81" t="s">
        <v>3710</v>
      </c>
      <c r="E1193" s="81"/>
      <c r="F1193" s="81"/>
      <c r="G1193" s="81"/>
      <c r="H1193" s="81"/>
      <c r="I1193" s="81"/>
      <c r="J1193" s="81"/>
      <c r="K1193" s="21"/>
      <c r="L1193" s="22">
        <f>L1201</f>
        <v>493.2</v>
      </c>
      <c r="M1193" s="22">
        <f>ROUND(L1193,2)</f>
        <v>493.2</v>
      </c>
    </row>
    <row r="1194" spans="1:13" ht="30.6" customHeight="1" thickBot="1" x14ac:dyDescent="0.35">
      <c r="A1194" s="10" t="s">
        <v>3711</v>
      </c>
      <c r="B1194" s="5" t="s">
        <v>3712</v>
      </c>
      <c r="C1194" s="5" t="s">
        <v>3713</v>
      </c>
      <c r="D1194" s="82" t="s">
        <v>3714</v>
      </c>
      <c r="E1194" s="82"/>
      <c r="F1194" s="82"/>
      <c r="G1194" s="82"/>
      <c r="H1194" s="82"/>
      <c r="I1194" s="82"/>
      <c r="J1194" s="82"/>
      <c r="K1194" s="23">
        <f>SUM(K1196:K1197)</f>
        <v>120</v>
      </c>
      <c r="L1194" s="24">
        <f>L1200</f>
        <v>4.1100000000000003</v>
      </c>
      <c r="M1194" s="24">
        <f>ROUND(K1194*L1194,2)</f>
        <v>493.2</v>
      </c>
    </row>
    <row r="1195" spans="1:13" ht="15.15" customHeight="1" thickBot="1" x14ac:dyDescent="0.35">
      <c r="A1195" s="25"/>
      <c r="B1195" s="25"/>
      <c r="C1195" s="25"/>
      <c r="D1195" s="25"/>
      <c r="E1195" s="26"/>
      <c r="F1195" s="28" t="s">
        <v>3715</v>
      </c>
      <c r="G1195" s="28" t="s">
        <v>3716</v>
      </c>
      <c r="H1195" s="28" t="s">
        <v>3717</v>
      </c>
      <c r="I1195" s="28" t="s">
        <v>3718</v>
      </c>
      <c r="J1195" s="28" t="s">
        <v>3719</v>
      </c>
      <c r="K1195" s="28" t="s">
        <v>3720</v>
      </c>
      <c r="L1195" s="25"/>
      <c r="M1195" s="25"/>
    </row>
    <row r="1196" spans="1:13" ht="15.15" customHeight="1" thickBot="1" x14ac:dyDescent="0.35">
      <c r="A1196" s="25"/>
      <c r="B1196" s="25"/>
      <c r="C1196" s="25"/>
      <c r="D1196" s="29"/>
      <c r="E1196" s="30" t="s">
        <v>3721</v>
      </c>
      <c r="F1196" s="31"/>
      <c r="G1196" s="32"/>
      <c r="H1196" s="32"/>
      <c r="I1196" s="32">
        <v>96</v>
      </c>
      <c r="J1196" s="34">
        <f>ROUND(I1196,3)</f>
        <v>96</v>
      </c>
      <c r="K1196" s="57"/>
      <c r="L1196" s="25"/>
      <c r="M1196" s="25"/>
    </row>
    <row r="1197" spans="1:13" ht="15.15" customHeight="1" thickBot="1" x14ac:dyDescent="0.35">
      <c r="A1197" s="25"/>
      <c r="B1197" s="25"/>
      <c r="C1197" s="25"/>
      <c r="D1197" s="29"/>
      <c r="E1197" s="5" t="s">
        <v>3722</v>
      </c>
      <c r="F1197" s="3"/>
      <c r="G1197" s="23"/>
      <c r="H1197" s="23"/>
      <c r="I1197" s="23">
        <v>24</v>
      </c>
      <c r="J1197" s="33">
        <f>ROUND(I1197,3)</f>
        <v>24</v>
      </c>
      <c r="K1197" s="35">
        <f>SUM(J1196:J1197)</f>
        <v>120</v>
      </c>
      <c r="L1197" s="25"/>
      <c r="M1197" s="25"/>
    </row>
    <row r="1198" spans="1:13" ht="24.3" customHeight="1" thickBot="1" x14ac:dyDescent="0.35">
      <c r="A1198" s="5" t="s">
        <v>3723</v>
      </c>
      <c r="B1198" s="5" t="s">
        <v>3724</v>
      </c>
      <c r="C1198" s="5" t="s">
        <v>3725</v>
      </c>
      <c r="D1198" s="82" t="s">
        <v>3726</v>
      </c>
      <c r="E1198" s="82"/>
      <c r="F1198" s="82"/>
      <c r="G1198" s="82"/>
      <c r="H1198" s="82"/>
      <c r="I1198" s="82"/>
      <c r="J1198" s="82"/>
      <c r="K1198" s="23">
        <v>0.128</v>
      </c>
      <c r="L1198" s="23">
        <f>ROUND(30.564,3)</f>
        <v>30.564</v>
      </c>
      <c r="M1198" s="24">
        <f>ROUND(K1198*L1198,2)</f>
        <v>3.91</v>
      </c>
    </row>
    <row r="1199" spans="1:13" ht="15.15" customHeight="1" thickBot="1" x14ac:dyDescent="0.35">
      <c r="A1199" s="5" t="s">
        <v>3727</v>
      </c>
      <c r="B1199" s="5"/>
      <c r="C1199" s="5" t="s">
        <v>3728</v>
      </c>
      <c r="D1199" s="82" t="s">
        <v>3729</v>
      </c>
      <c r="E1199" s="82"/>
      <c r="F1199" s="82"/>
      <c r="G1199" s="82"/>
      <c r="H1199" s="82"/>
      <c r="I1199" s="82"/>
      <c r="J1199" s="82"/>
      <c r="K1199" s="23">
        <v>2</v>
      </c>
      <c r="L1199" s="23">
        <f>ROUND(3.91,3)</f>
        <v>3.91</v>
      </c>
      <c r="M1199" s="24">
        <f>ROUND((K1199*L1199)/100,2)</f>
        <v>0.08</v>
      </c>
    </row>
    <row r="1200" spans="1:13" ht="15.45" customHeight="1" thickBot="1" x14ac:dyDescent="0.35">
      <c r="A1200" s="37"/>
      <c r="B1200" s="37"/>
      <c r="C1200" s="37"/>
      <c r="D1200" s="38" t="s">
        <v>3730</v>
      </c>
      <c r="E1200" s="37"/>
      <c r="F1200" s="37"/>
      <c r="G1200" s="37"/>
      <c r="H1200" s="37"/>
      <c r="I1200" s="37"/>
      <c r="J1200" s="37"/>
      <c r="K1200" s="39">
        <v>120</v>
      </c>
      <c r="L1200" s="40">
        <f>ROUND((M1198+M1199)*(1+M2/100),2)</f>
        <v>4.1100000000000003</v>
      </c>
      <c r="M1200" s="40">
        <f>ROUND(K1200*L1200,2)</f>
        <v>493.2</v>
      </c>
    </row>
    <row r="1201" spans="1:13" ht="15.45" customHeight="1" thickBot="1" x14ac:dyDescent="0.35">
      <c r="A1201" s="41"/>
      <c r="B1201" s="41"/>
      <c r="C1201" s="41"/>
      <c r="D1201" s="42" t="s">
        <v>3731</v>
      </c>
      <c r="E1201" s="43"/>
      <c r="F1201" s="43"/>
      <c r="G1201" s="43"/>
      <c r="H1201" s="43"/>
      <c r="I1201" s="43"/>
      <c r="J1201" s="43"/>
      <c r="K1201" s="43"/>
      <c r="L1201" s="44">
        <f>M1194</f>
        <v>493.2</v>
      </c>
      <c r="M1201" s="44">
        <f>ROUND(L1201,2)</f>
        <v>493.2</v>
      </c>
    </row>
    <row r="1202" spans="1:13" ht="15.45" customHeight="1" thickBot="1" x14ac:dyDescent="0.35">
      <c r="A1202" s="54" t="s">
        <v>3732</v>
      </c>
      <c r="B1202" s="54" t="s">
        <v>3733</v>
      </c>
      <c r="C1202" s="55"/>
      <c r="D1202" s="84" t="s">
        <v>3734</v>
      </c>
      <c r="E1202" s="84"/>
      <c r="F1202" s="84"/>
      <c r="G1202" s="84"/>
      <c r="H1202" s="84"/>
      <c r="I1202" s="84"/>
      <c r="J1202" s="84"/>
      <c r="K1202" s="55"/>
      <c r="L1202" s="56">
        <f>L1210</f>
        <v>510</v>
      </c>
      <c r="M1202" s="56">
        <f>ROUND(L1202,2)</f>
        <v>510</v>
      </c>
    </row>
    <row r="1203" spans="1:13" ht="30.6" customHeight="1" thickBot="1" x14ac:dyDescent="0.35">
      <c r="A1203" s="10" t="s">
        <v>3735</v>
      </c>
      <c r="B1203" s="5" t="s">
        <v>3736</v>
      </c>
      <c r="C1203" s="5" t="s">
        <v>3737</v>
      </c>
      <c r="D1203" s="82" t="s">
        <v>3738</v>
      </c>
      <c r="E1203" s="82"/>
      <c r="F1203" s="82"/>
      <c r="G1203" s="82"/>
      <c r="H1203" s="82"/>
      <c r="I1203" s="82"/>
      <c r="J1203" s="82"/>
      <c r="K1203" s="23">
        <f>SUM(K1205:K1206)</f>
        <v>120</v>
      </c>
      <c r="L1203" s="24">
        <f>L1209</f>
        <v>4.25</v>
      </c>
      <c r="M1203" s="24">
        <f>ROUND(K1203*L1203,2)</f>
        <v>510</v>
      </c>
    </row>
    <row r="1204" spans="1:13" ht="15.15" customHeight="1" thickBot="1" x14ac:dyDescent="0.35">
      <c r="A1204" s="25"/>
      <c r="B1204" s="25"/>
      <c r="C1204" s="25"/>
      <c r="D1204" s="25"/>
      <c r="E1204" s="26"/>
      <c r="F1204" s="28" t="s">
        <v>3739</v>
      </c>
      <c r="G1204" s="28" t="s">
        <v>3740</v>
      </c>
      <c r="H1204" s="28" t="s">
        <v>3741</v>
      </c>
      <c r="I1204" s="28" t="s">
        <v>3742</v>
      </c>
      <c r="J1204" s="28" t="s">
        <v>3743</v>
      </c>
      <c r="K1204" s="28" t="s">
        <v>3744</v>
      </c>
      <c r="L1204" s="25"/>
      <c r="M1204" s="25"/>
    </row>
    <row r="1205" spans="1:13" ht="15.15" customHeight="1" thickBot="1" x14ac:dyDescent="0.35">
      <c r="A1205" s="25"/>
      <c r="B1205" s="25"/>
      <c r="C1205" s="25"/>
      <c r="D1205" s="29"/>
      <c r="E1205" s="30" t="s">
        <v>3745</v>
      </c>
      <c r="F1205" s="31"/>
      <c r="G1205" s="32"/>
      <c r="H1205" s="32"/>
      <c r="I1205" s="32">
        <v>96</v>
      </c>
      <c r="J1205" s="34">
        <f>ROUND(I1205,3)</f>
        <v>96</v>
      </c>
      <c r="K1205" s="57"/>
      <c r="L1205" s="25"/>
      <c r="M1205" s="25"/>
    </row>
    <row r="1206" spans="1:13" ht="15.15" customHeight="1" thickBot="1" x14ac:dyDescent="0.35">
      <c r="A1206" s="25"/>
      <c r="B1206" s="25"/>
      <c r="C1206" s="25"/>
      <c r="D1206" s="29"/>
      <c r="E1206" s="5" t="s">
        <v>3746</v>
      </c>
      <c r="F1206" s="3"/>
      <c r="G1206" s="23"/>
      <c r="H1206" s="23"/>
      <c r="I1206" s="23">
        <v>24</v>
      </c>
      <c r="J1206" s="33">
        <f>ROUND(I1206,3)</f>
        <v>24</v>
      </c>
      <c r="K1206" s="35">
        <f>SUM(J1205:J1206)</f>
        <v>120</v>
      </c>
      <c r="L1206" s="25"/>
      <c r="M1206" s="25"/>
    </row>
    <row r="1207" spans="1:13" ht="30.6" customHeight="1" thickBot="1" x14ac:dyDescent="0.35">
      <c r="A1207" s="5" t="s">
        <v>3747</v>
      </c>
      <c r="B1207" s="5" t="s">
        <v>3748</v>
      </c>
      <c r="C1207" s="5" t="s">
        <v>3749</v>
      </c>
      <c r="D1207" s="82" t="s">
        <v>3750</v>
      </c>
      <c r="E1207" s="82"/>
      <c r="F1207" s="82"/>
      <c r="G1207" s="82"/>
      <c r="H1207" s="82"/>
      <c r="I1207" s="82"/>
      <c r="J1207" s="82"/>
      <c r="K1207" s="23">
        <v>1.0489999999999999</v>
      </c>
      <c r="L1207" s="23">
        <f>ROUND(3.859,3)</f>
        <v>3.859</v>
      </c>
      <c r="M1207" s="24">
        <f>ROUND(K1207*L1207,2)</f>
        <v>4.05</v>
      </c>
    </row>
    <row r="1208" spans="1:13" ht="15.15" customHeight="1" thickBot="1" x14ac:dyDescent="0.35">
      <c r="A1208" s="5" t="s">
        <v>3751</v>
      </c>
      <c r="B1208" s="5"/>
      <c r="C1208" s="5" t="s">
        <v>3752</v>
      </c>
      <c r="D1208" s="82" t="s">
        <v>3753</v>
      </c>
      <c r="E1208" s="82"/>
      <c r="F1208" s="82"/>
      <c r="G1208" s="82"/>
      <c r="H1208" s="82"/>
      <c r="I1208" s="82"/>
      <c r="J1208" s="82"/>
      <c r="K1208" s="23">
        <v>2</v>
      </c>
      <c r="L1208" s="23">
        <f>ROUND(4.05,3)</f>
        <v>4.05</v>
      </c>
      <c r="M1208" s="24">
        <f>ROUND((K1208*L1208)/100,2)</f>
        <v>0.08</v>
      </c>
    </row>
    <row r="1209" spans="1:13" ht="15.45" customHeight="1" thickBot="1" x14ac:dyDescent="0.35">
      <c r="A1209" s="37"/>
      <c r="B1209" s="37"/>
      <c r="C1209" s="37"/>
      <c r="D1209" s="38" t="s">
        <v>3754</v>
      </c>
      <c r="E1209" s="37"/>
      <c r="F1209" s="37"/>
      <c r="G1209" s="37"/>
      <c r="H1209" s="37"/>
      <c r="I1209" s="37"/>
      <c r="J1209" s="37"/>
      <c r="K1209" s="39">
        <v>120</v>
      </c>
      <c r="L1209" s="40">
        <f>ROUND((M1207+M1208)*(1+M2/100),2)</f>
        <v>4.25</v>
      </c>
      <c r="M1209" s="40">
        <f>ROUND(K1209*L1209,2)</f>
        <v>510</v>
      </c>
    </row>
    <row r="1210" spans="1:13" ht="15.45" customHeight="1" thickBot="1" x14ac:dyDescent="0.35">
      <c r="A1210" s="41"/>
      <c r="B1210" s="41"/>
      <c r="C1210" s="41"/>
      <c r="D1210" s="42" t="s">
        <v>3755</v>
      </c>
      <c r="E1210" s="43"/>
      <c r="F1210" s="43"/>
      <c r="G1210" s="43"/>
      <c r="H1210" s="43"/>
      <c r="I1210" s="43"/>
      <c r="J1210" s="43"/>
      <c r="K1210" s="43"/>
      <c r="L1210" s="44">
        <f>M1203</f>
        <v>510</v>
      </c>
      <c r="M1210" s="44">
        <f t="shared" ref="M1210:M1215" si="53">ROUND(L1210,2)</f>
        <v>510</v>
      </c>
    </row>
    <row r="1211" spans="1:13" ht="15.45" customHeight="1" thickBot="1" x14ac:dyDescent="0.35">
      <c r="A1211" s="41"/>
      <c r="B1211" s="41"/>
      <c r="C1211" s="41"/>
      <c r="D1211" s="45" t="s">
        <v>3756</v>
      </c>
      <c r="E1211" s="46"/>
      <c r="F1211" s="46"/>
      <c r="G1211" s="46"/>
      <c r="H1211" s="46"/>
      <c r="I1211" s="46"/>
      <c r="J1211" s="46"/>
      <c r="K1211" s="46"/>
      <c r="L1211" s="47">
        <f>M1201+M1210</f>
        <v>1003.2</v>
      </c>
      <c r="M1211" s="47">
        <f t="shared" si="53"/>
        <v>1003.2</v>
      </c>
    </row>
    <row r="1212" spans="1:13" ht="15.45" customHeight="1" thickBot="1" x14ac:dyDescent="0.35">
      <c r="A1212" s="41"/>
      <c r="B1212" s="41"/>
      <c r="C1212" s="41"/>
      <c r="D1212" s="48" t="s">
        <v>3757</v>
      </c>
      <c r="E1212" s="49"/>
      <c r="F1212" s="49"/>
      <c r="G1212" s="49"/>
      <c r="H1212" s="49"/>
      <c r="I1212" s="49"/>
      <c r="J1212" s="49"/>
      <c r="K1212" s="49"/>
      <c r="L1212" s="50">
        <f>M1191+M1211</f>
        <v>28058.3</v>
      </c>
      <c r="M1212" s="50">
        <f t="shared" si="53"/>
        <v>28058.3</v>
      </c>
    </row>
    <row r="1213" spans="1:13" ht="15.45" customHeight="1" thickBot="1" x14ac:dyDescent="0.35">
      <c r="A1213" s="51" t="s">
        <v>3758</v>
      </c>
      <c r="B1213" s="51" t="s">
        <v>3759</v>
      </c>
      <c r="C1213" s="52"/>
      <c r="D1213" s="83" t="s">
        <v>3760</v>
      </c>
      <c r="E1213" s="83"/>
      <c r="F1213" s="83"/>
      <c r="G1213" s="83"/>
      <c r="H1213" s="83"/>
      <c r="I1213" s="83"/>
      <c r="J1213" s="83"/>
      <c r="K1213" s="52"/>
      <c r="L1213" s="53">
        <f>L1219</f>
        <v>1869.7</v>
      </c>
      <c r="M1213" s="53">
        <f t="shared" si="53"/>
        <v>1869.7</v>
      </c>
    </row>
    <row r="1214" spans="1:13" ht="15.45" customHeight="1" thickBot="1" x14ac:dyDescent="0.35">
      <c r="A1214" s="17" t="s">
        <v>3761</v>
      </c>
      <c r="B1214" s="17" t="s">
        <v>3762</v>
      </c>
      <c r="C1214" s="18"/>
      <c r="D1214" s="80" t="s">
        <v>3763</v>
      </c>
      <c r="E1214" s="80"/>
      <c r="F1214" s="80"/>
      <c r="G1214" s="80"/>
      <c r="H1214" s="80"/>
      <c r="I1214" s="80"/>
      <c r="J1214" s="80"/>
      <c r="K1214" s="18"/>
      <c r="L1214" s="19">
        <f>L1218</f>
        <v>1869.7</v>
      </c>
      <c r="M1214" s="19">
        <f t="shared" si="53"/>
        <v>1869.7</v>
      </c>
    </row>
    <row r="1215" spans="1:13" ht="15.45" customHeight="1" thickBot="1" x14ac:dyDescent="0.35">
      <c r="A1215" s="20" t="s">
        <v>3764</v>
      </c>
      <c r="B1215" s="20" t="s">
        <v>3765</v>
      </c>
      <c r="C1215" s="21"/>
      <c r="D1215" s="81" t="s">
        <v>3766</v>
      </c>
      <c r="E1215" s="81"/>
      <c r="F1215" s="81"/>
      <c r="G1215" s="81"/>
      <c r="H1215" s="81"/>
      <c r="I1215" s="81"/>
      <c r="J1215" s="81"/>
      <c r="K1215" s="21"/>
      <c r="L1215" s="22">
        <f>L1217</f>
        <v>1869.7</v>
      </c>
      <c r="M1215" s="22">
        <f t="shared" si="53"/>
        <v>1869.7</v>
      </c>
    </row>
    <row r="1216" spans="1:13" ht="21.3" customHeight="1" thickBot="1" x14ac:dyDescent="0.35">
      <c r="A1216" s="10" t="s">
        <v>3767</v>
      </c>
      <c r="B1216" s="5" t="s">
        <v>3768</v>
      </c>
      <c r="C1216" s="5" t="s">
        <v>3769</v>
      </c>
      <c r="D1216" s="82" t="s">
        <v>3770</v>
      </c>
      <c r="E1216" s="82"/>
      <c r="F1216" s="82"/>
      <c r="G1216" s="82"/>
      <c r="H1216" s="82"/>
      <c r="I1216" s="82"/>
      <c r="J1216" s="82"/>
      <c r="K1216" s="23">
        <f>ROUND(1,2)</f>
        <v>1</v>
      </c>
      <c r="L1216" s="24">
        <f>ROUND(1815.245*(1+M2/100),2)</f>
        <v>1869.7</v>
      </c>
      <c r="M1216" s="24">
        <f>ROUND(K1216*L1216,2)</f>
        <v>1869.7</v>
      </c>
    </row>
    <row r="1217" spans="1:13" ht="15.45" customHeight="1" thickBot="1" x14ac:dyDescent="0.35">
      <c r="A1217" s="37"/>
      <c r="B1217" s="37"/>
      <c r="C1217" s="37"/>
      <c r="D1217" s="65" t="s">
        <v>3771</v>
      </c>
      <c r="E1217" s="66"/>
      <c r="F1217" s="66"/>
      <c r="G1217" s="66"/>
      <c r="H1217" s="66"/>
      <c r="I1217" s="66"/>
      <c r="J1217" s="66"/>
      <c r="K1217" s="66"/>
      <c r="L1217" s="67">
        <f>M1216</f>
        <v>1869.7</v>
      </c>
      <c r="M1217" s="67">
        <f>ROUND(L1217,2)</f>
        <v>1869.7</v>
      </c>
    </row>
    <row r="1218" spans="1:13" ht="15.45" customHeight="1" thickBot="1" x14ac:dyDescent="0.35">
      <c r="A1218" s="41"/>
      <c r="B1218" s="41"/>
      <c r="C1218" s="41"/>
      <c r="D1218" s="45" t="s">
        <v>3772</v>
      </c>
      <c r="E1218" s="46"/>
      <c r="F1218" s="46"/>
      <c r="G1218" s="46"/>
      <c r="H1218" s="46"/>
      <c r="I1218" s="46"/>
      <c r="J1218" s="46"/>
      <c r="K1218" s="46"/>
      <c r="L1218" s="47">
        <f>M1217</f>
        <v>1869.7</v>
      </c>
      <c r="M1218" s="47">
        <f>ROUND(L1218,2)</f>
        <v>1869.7</v>
      </c>
    </row>
    <row r="1219" spans="1:13" ht="15.45" customHeight="1" thickBot="1" x14ac:dyDescent="0.35">
      <c r="A1219" s="41"/>
      <c r="B1219" s="41"/>
      <c r="C1219" s="41"/>
      <c r="D1219" s="48" t="s">
        <v>3773</v>
      </c>
      <c r="E1219" s="49"/>
      <c r="F1219" s="49"/>
      <c r="G1219" s="49"/>
      <c r="H1219" s="49"/>
      <c r="I1219" s="49"/>
      <c r="J1219" s="49"/>
      <c r="K1219" s="49"/>
      <c r="L1219" s="50">
        <f>M1218</f>
        <v>1869.7</v>
      </c>
      <c r="M1219" s="50">
        <f>ROUND(L1219,2)</f>
        <v>1869.7</v>
      </c>
    </row>
    <row r="1220" spans="1:13" ht="15.45" customHeight="1" thickBot="1" x14ac:dyDescent="0.35">
      <c r="A1220" s="51" t="s">
        <v>3774</v>
      </c>
      <c r="B1220" s="51" t="s">
        <v>3775</v>
      </c>
      <c r="C1220" s="52"/>
      <c r="D1220" s="83" t="s">
        <v>3776</v>
      </c>
      <c r="E1220" s="83"/>
      <c r="F1220" s="83"/>
      <c r="G1220" s="83"/>
      <c r="H1220" s="83"/>
      <c r="I1220" s="83"/>
      <c r="J1220" s="83"/>
      <c r="K1220" s="52"/>
      <c r="L1220" s="53">
        <f>L1222</f>
        <v>213.68</v>
      </c>
      <c r="M1220" s="53">
        <f>ROUND(L1220,2)</f>
        <v>213.68</v>
      </c>
    </row>
    <row r="1221" spans="1:13" ht="15.45" customHeight="1" thickBot="1" x14ac:dyDescent="0.35">
      <c r="A1221" s="10" t="s">
        <v>3777</v>
      </c>
      <c r="B1221" s="5" t="s">
        <v>3778</v>
      </c>
      <c r="C1221" s="5" t="s">
        <v>3779</v>
      </c>
      <c r="D1221" s="82" t="s">
        <v>3780</v>
      </c>
      <c r="E1221" s="82"/>
      <c r="F1221" s="82"/>
      <c r="G1221" s="82"/>
      <c r="H1221" s="82"/>
      <c r="I1221" s="82"/>
      <c r="J1221" s="82"/>
      <c r="K1221" s="23">
        <f>ROUND(1,2)</f>
        <v>1</v>
      </c>
      <c r="L1221" s="24">
        <f>ROUND(207.457*(1+M2/100),2)</f>
        <v>213.68</v>
      </c>
      <c r="M1221" s="24">
        <f>ROUND(K1221*L1221,2)</f>
        <v>213.68</v>
      </c>
    </row>
    <row r="1222" spans="1:13" ht="15.45" customHeight="1" thickBot="1" x14ac:dyDescent="0.35">
      <c r="A1222" s="37"/>
      <c r="B1222" s="37"/>
      <c r="C1222" s="37"/>
      <c r="D1222" s="71" t="s">
        <v>3781</v>
      </c>
      <c r="E1222" s="72"/>
      <c r="F1222" s="72"/>
      <c r="G1222" s="72"/>
      <c r="H1222" s="72"/>
      <c r="I1222" s="72"/>
      <c r="J1222" s="72"/>
      <c r="K1222" s="72"/>
      <c r="L1222" s="73">
        <f>M1221</f>
        <v>213.68</v>
      </c>
      <c r="M1222" s="73">
        <f>ROUND(L1222,2)</f>
        <v>213.68</v>
      </c>
    </row>
    <row r="1223" spans="1:13" ht="15.45" customHeight="1" thickBot="1" x14ac:dyDescent="0.35">
      <c r="A1223" s="41"/>
      <c r="B1223" s="41"/>
      <c r="C1223" s="41"/>
      <c r="D1223" s="74" t="s">
        <v>3782</v>
      </c>
      <c r="E1223" s="75"/>
      <c r="F1223" s="75"/>
      <c r="G1223" s="75"/>
      <c r="H1223" s="75"/>
      <c r="I1223" s="75"/>
      <c r="J1223" s="75"/>
      <c r="K1223" s="75"/>
      <c r="L1223" s="76">
        <f>M20+M154+M258+M346+M409+M473+M491+M1053+M1095+M1121+M1150+M1166+M1212+M1219+M1222</f>
        <v>596384.44999999995</v>
      </c>
      <c r="M1223" s="76">
        <f>ROUND(L1223,2)</f>
        <v>596384.44999999995</v>
      </c>
    </row>
  </sheetData>
  <mergeCells count="827">
    <mergeCell ref="D1207:J1207"/>
    <mergeCell ref="D1208:J1208"/>
    <mergeCell ref="D1213:J1213"/>
    <mergeCell ref="D1214:J1214"/>
    <mergeCell ref="D1215:J1215"/>
    <mergeCell ref="D1216:J1216"/>
    <mergeCell ref="D1220:J1220"/>
    <mergeCell ref="D1221:J1221"/>
    <mergeCell ref="D1187:J1187"/>
    <mergeCell ref="D1188:J1188"/>
    <mergeCell ref="D1192:J1192"/>
    <mergeCell ref="D1193:J1193"/>
    <mergeCell ref="D1194:J1194"/>
    <mergeCell ref="D1198:J1198"/>
    <mergeCell ref="D1199:J1199"/>
    <mergeCell ref="D1202:J1202"/>
    <mergeCell ref="D1203:J1203"/>
    <mergeCell ref="D1162:J1162"/>
    <mergeCell ref="D1167:J1167"/>
    <mergeCell ref="D1168:J1168"/>
    <mergeCell ref="D1169:J1169"/>
    <mergeCell ref="D1170:J1170"/>
    <mergeCell ref="D1176:J1176"/>
    <mergeCell ref="D1177:J1177"/>
    <mergeCell ref="D1180:J1180"/>
    <mergeCell ref="D1181:J1181"/>
    <mergeCell ref="D1151:J1151"/>
    <mergeCell ref="D1152:J1152"/>
    <mergeCell ref="D1153:J1153"/>
    <mergeCell ref="D1154:J1154"/>
    <mergeCell ref="D1157:J1157"/>
    <mergeCell ref="D1158:J1158"/>
    <mergeCell ref="D1159:J1159"/>
    <mergeCell ref="D1160:J1160"/>
    <mergeCell ref="D1161:J1161"/>
    <mergeCell ref="D1131:J1131"/>
    <mergeCell ref="D1132:J1132"/>
    <mergeCell ref="D1133:J1133"/>
    <mergeCell ref="D1137:J1137"/>
    <mergeCell ref="D1138:J1138"/>
    <mergeCell ref="D1144:J1144"/>
    <mergeCell ref="D1145:J1145"/>
    <mergeCell ref="D1146:J1146"/>
    <mergeCell ref="D1147:J1147"/>
    <mergeCell ref="D1115:J1115"/>
    <mergeCell ref="D1116:J1116"/>
    <mergeCell ref="D1117:J1117"/>
    <mergeCell ref="D1122:J1122"/>
    <mergeCell ref="D1123:J1123"/>
    <mergeCell ref="D1124:J1124"/>
    <mergeCell ref="D1125:J1125"/>
    <mergeCell ref="D1129:J1129"/>
    <mergeCell ref="D1130:J1130"/>
    <mergeCell ref="D1106:J1106"/>
    <mergeCell ref="D1107:J1107"/>
    <mergeCell ref="D1108:J1108"/>
    <mergeCell ref="D1109:J1109"/>
    <mergeCell ref="D1110:J1110"/>
    <mergeCell ref="D1111:J1111"/>
    <mergeCell ref="D1112:J1112"/>
    <mergeCell ref="D1113:J1113"/>
    <mergeCell ref="D1114:J1114"/>
    <mergeCell ref="D1091:J1091"/>
    <mergeCell ref="D1096:J1096"/>
    <mergeCell ref="D1097:J1097"/>
    <mergeCell ref="D1098:J1098"/>
    <mergeCell ref="D1099:J1099"/>
    <mergeCell ref="D1102:J1102"/>
    <mergeCell ref="D1103:J1103"/>
    <mergeCell ref="D1104:J1104"/>
    <mergeCell ref="D1105:J1105"/>
    <mergeCell ref="D1076:J1076"/>
    <mergeCell ref="D1077:J1077"/>
    <mergeCell ref="D1078:J1078"/>
    <mergeCell ref="D1082:J1082"/>
    <mergeCell ref="D1083:J1083"/>
    <mergeCell ref="D1084:J1084"/>
    <mergeCell ref="D1088:J1088"/>
    <mergeCell ref="D1089:J1089"/>
    <mergeCell ref="D1090:J1090"/>
    <mergeCell ref="D1062:J1062"/>
    <mergeCell ref="D1063:J1063"/>
    <mergeCell ref="D1064:J1064"/>
    <mergeCell ref="D1068:J1068"/>
    <mergeCell ref="D1069:J1069"/>
    <mergeCell ref="D1070:J1070"/>
    <mergeCell ref="D1073:J1073"/>
    <mergeCell ref="D1074:J1074"/>
    <mergeCell ref="D1075:J1075"/>
    <mergeCell ref="D1047:J1047"/>
    <mergeCell ref="D1048:J1048"/>
    <mergeCell ref="D1049:J1049"/>
    <mergeCell ref="D1054:J1054"/>
    <mergeCell ref="D1055:J1055"/>
    <mergeCell ref="D1056:J1056"/>
    <mergeCell ref="D1057:J1057"/>
    <mergeCell ref="D1060:J1060"/>
    <mergeCell ref="D1061:J1061"/>
    <mergeCell ref="D1035:J1035"/>
    <mergeCell ref="D1036:J1036"/>
    <mergeCell ref="D1037:J1037"/>
    <mergeCell ref="D1040:J1040"/>
    <mergeCell ref="D1041:J1041"/>
    <mergeCell ref="D1042:J1042"/>
    <mergeCell ref="D1043:J1043"/>
    <mergeCell ref="D1044:J1044"/>
    <mergeCell ref="D1046:J1046"/>
    <mergeCell ref="D1014:J1014"/>
    <mergeCell ref="D1015:J1015"/>
    <mergeCell ref="D1017:J1017"/>
    <mergeCell ref="D1023:J1023"/>
    <mergeCell ref="D1024:J1024"/>
    <mergeCell ref="D1025:J1025"/>
    <mergeCell ref="D1026:J1026"/>
    <mergeCell ref="D1028:J1028"/>
    <mergeCell ref="D1034:J1034"/>
    <mergeCell ref="D1003:J1003"/>
    <mergeCell ref="D1005:J1005"/>
    <mergeCell ref="D1006:J1006"/>
    <mergeCell ref="D1007:J1007"/>
    <mergeCell ref="D1008:J1008"/>
    <mergeCell ref="D1009:J1009"/>
    <mergeCell ref="D1011:J1011"/>
    <mergeCell ref="D1012:J1012"/>
    <mergeCell ref="D1013:J1013"/>
    <mergeCell ref="D993:J993"/>
    <mergeCell ref="D994:J994"/>
    <mergeCell ref="D995:J995"/>
    <mergeCell ref="D996:J996"/>
    <mergeCell ref="D998:J998"/>
    <mergeCell ref="D999:J999"/>
    <mergeCell ref="D1000:J1000"/>
    <mergeCell ref="D1001:J1001"/>
    <mergeCell ref="D1002:J1002"/>
    <mergeCell ref="D981:J981"/>
    <mergeCell ref="D983:J983"/>
    <mergeCell ref="D984:J984"/>
    <mergeCell ref="D985:J985"/>
    <mergeCell ref="D986:J986"/>
    <mergeCell ref="D987:J987"/>
    <mergeCell ref="D990:J990"/>
    <mergeCell ref="D991:J991"/>
    <mergeCell ref="D992:J992"/>
    <mergeCell ref="D970:J970"/>
    <mergeCell ref="D971:J971"/>
    <mergeCell ref="D973:J973"/>
    <mergeCell ref="D975:J975"/>
    <mergeCell ref="D976:J976"/>
    <mergeCell ref="D977:J977"/>
    <mergeCell ref="D978:J978"/>
    <mergeCell ref="D979:J979"/>
    <mergeCell ref="D980:J980"/>
    <mergeCell ref="D959:J959"/>
    <mergeCell ref="D960:J960"/>
    <mergeCell ref="D961:J961"/>
    <mergeCell ref="D963:J963"/>
    <mergeCell ref="D964:J964"/>
    <mergeCell ref="D965:J965"/>
    <mergeCell ref="D966:J966"/>
    <mergeCell ref="D968:J968"/>
    <mergeCell ref="D969:J969"/>
    <mergeCell ref="D950:J950"/>
    <mergeCell ref="D951:J951"/>
    <mergeCell ref="D952:J952"/>
    <mergeCell ref="D953:J953"/>
    <mergeCell ref="D954:J954"/>
    <mergeCell ref="D955:J955"/>
    <mergeCell ref="D956:J956"/>
    <mergeCell ref="D957:J957"/>
    <mergeCell ref="D958:J958"/>
    <mergeCell ref="D940:J940"/>
    <mergeCell ref="D941:J941"/>
    <mergeCell ref="D942:J942"/>
    <mergeCell ref="D943:J943"/>
    <mergeCell ref="D944:J944"/>
    <mergeCell ref="D945:J945"/>
    <mergeCell ref="D946:J946"/>
    <mergeCell ref="D948:J948"/>
    <mergeCell ref="D949:J949"/>
    <mergeCell ref="D930:J930"/>
    <mergeCell ref="D931:J931"/>
    <mergeCell ref="D933:J933"/>
    <mergeCell ref="D934:J934"/>
    <mergeCell ref="D935:J935"/>
    <mergeCell ref="D936:J936"/>
    <mergeCell ref="D937:J937"/>
    <mergeCell ref="D938:J938"/>
    <mergeCell ref="D939:J939"/>
    <mergeCell ref="D920:J920"/>
    <mergeCell ref="D921:J921"/>
    <mergeCell ref="D922:J922"/>
    <mergeCell ref="D924:J924"/>
    <mergeCell ref="D925:J925"/>
    <mergeCell ref="D926:J926"/>
    <mergeCell ref="D927:J927"/>
    <mergeCell ref="D928:J928"/>
    <mergeCell ref="D929:J929"/>
    <mergeCell ref="D911:J911"/>
    <mergeCell ref="D912:J912"/>
    <mergeCell ref="D913:J913"/>
    <mergeCell ref="D914:J914"/>
    <mergeCell ref="D915:J915"/>
    <mergeCell ref="D916:J916"/>
    <mergeCell ref="D917:J917"/>
    <mergeCell ref="D918:J918"/>
    <mergeCell ref="D919:J919"/>
    <mergeCell ref="D897:J897"/>
    <mergeCell ref="D898:J898"/>
    <mergeCell ref="D899:J899"/>
    <mergeCell ref="D900:J900"/>
    <mergeCell ref="D901:J901"/>
    <mergeCell ref="D902:J902"/>
    <mergeCell ref="D903:J903"/>
    <mergeCell ref="D904:J904"/>
    <mergeCell ref="D906:J906"/>
    <mergeCell ref="D883:J883"/>
    <mergeCell ref="D884:J884"/>
    <mergeCell ref="D885:J885"/>
    <mergeCell ref="D886:J886"/>
    <mergeCell ref="D888:J888"/>
    <mergeCell ref="D893:J893"/>
    <mergeCell ref="D894:J894"/>
    <mergeCell ref="D895:J895"/>
    <mergeCell ref="D896:J896"/>
    <mergeCell ref="D863:J863"/>
    <mergeCell ref="D875:J875"/>
    <mergeCell ref="D876:J876"/>
    <mergeCell ref="D877:J877"/>
    <mergeCell ref="D878:J878"/>
    <mergeCell ref="D879:J879"/>
    <mergeCell ref="D880:J880"/>
    <mergeCell ref="D881:J881"/>
    <mergeCell ref="D882:J882"/>
    <mergeCell ref="D851:J851"/>
    <mergeCell ref="D852:J852"/>
    <mergeCell ref="D855:J855"/>
    <mergeCell ref="D856:J856"/>
    <mergeCell ref="D857:J857"/>
    <mergeCell ref="D858:J858"/>
    <mergeCell ref="D859:J859"/>
    <mergeCell ref="D860:J860"/>
    <mergeCell ref="D861:J861"/>
    <mergeCell ref="D839:J839"/>
    <mergeCell ref="D840:J840"/>
    <mergeCell ref="D841:J841"/>
    <mergeCell ref="D843:J843"/>
    <mergeCell ref="D844:J844"/>
    <mergeCell ref="D845:J845"/>
    <mergeCell ref="D846:J846"/>
    <mergeCell ref="D847:J847"/>
    <mergeCell ref="D848:J848"/>
    <mergeCell ref="D829:J829"/>
    <mergeCell ref="D830:J830"/>
    <mergeCell ref="D831:J831"/>
    <mergeCell ref="D832:J832"/>
    <mergeCell ref="D833:J833"/>
    <mergeCell ref="D834:J834"/>
    <mergeCell ref="D836:J836"/>
    <mergeCell ref="D837:J837"/>
    <mergeCell ref="D838:J838"/>
    <mergeCell ref="D817:J817"/>
    <mergeCell ref="D818:J818"/>
    <mergeCell ref="D819:J819"/>
    <mergeCell ref="D820:J820"/>
    <mergeCell ref="D821:J821"/>
    <mergeCell ref="D822:J822"/>
    <mergeCell ref="D823:J823"/>
    <mergeCell ref="D825:J825"/>
    <mergeCell ref="D828:J828"/>
    <mergeCell ref="D807:J807"/>
    <mergeCell ref="D808:J808"/>
    <mergeCell ref="D809:J809"/>
    <mergeCell ref="D810:J810"/>
    <mergeCell ref="D811:J811"/>
    <mergeCell ref="D812:J812"/>
    <mergeCell ref="D814:J814"/>
    <mergeCell ref="D815:J815"/>
    <mergeCell ref="D816:J816"/>
    <mergeCell ref="D795:J795"/>
    <mergeCell ref="D796:J796"/>
    <mergeCell ref="D797:J797"/>
    <mergeCell ref="D798:J798"/>
    <mergeCell ref="D800:J800"/>
    <mergeCell ref="D801:J801"/>
    <mergeCell ref="D802:J802"/>
    <mergeCell ref="D803:J803"/>
    <mergeCell ref="D806:J806"/>
    <mergeCell ref="D784:J784"/>
    <mergeCell ref="D786:J786"/>
    <mergeCell ref="D787:J787"/>
    <mergeCell ref="D788:J788"/>
    <mergeCell ref="D789:J789"/>
    <mergeCell ref="D790:J790"/>
    <mergeCell ref="D791:J791"/>
    <mergeCell ref="D793:J793"/>
    <mergeCell ref="D794:J794"/>
    <mergeCell ref="D771:J771"/>
    <mergeCell ref="D774:J774"/>
    <mergeCell ref="D775:J775"/>
    <mergeCell ref="D778:J778"/>
    <mergeCell ref="D779:J779"/>
    <mergeCell ref="D780:J780"/>
    <mergeCell ref="D781:J781"/>
    <mergeCell ref="D782:J782"/>
    <mergeCell ref="D783:J783"/>
    <mergeCell ref="D761:J761"/>
    <mergeCell ref="D762:J762"/>
    <mergeCell ref="D763:J763"/>
    <mergeCell ref="D764:J764"/>
    <mergeCell ref="D765:J765"/>
    <mergeCell ref="D767:J767"/>
    <mergeCell ref="D768:J768"/>
    <mergeCell ref="D769:J769"/>
    <mergeCell ref="D770:J770"/>
    <mergeCell ref="D742:J742"/>
    <mergeCell ref="D745:J745"/>
    <mergeCell ref="D746:J746"/>
    <mergeCell ref="D752:J752"/>
    <mergeCell ref="D753:J753"/>
    <mergeCell ref="D754:J754"/>
    <mergeCell ref="D755:J755"/>
    <mergeCell ref="D756:J756"/>
    <mergeCell ref="D758:J758"/>
    <mergeCell ref="D732:J732"/>
    <mergeCell ref="D733:J733"/>
    <mergeCell ref="D734:J734"/>
    <mergeCell ref="D735:J735"/>
    <mergeCell ref="D736:J736"/>
    <mergeCell ref="D738:J738"/>
    <mergeCell ref="D739:J739"/>
    <mergeCell ref="D740:J740"/>
    <mergeCell ref="D741:J741"/>
    <mergeCell ref="D721:J721"/>
    <mergeCell ref="D722:J722"/>
    <mergeCell ref="D723:J723"/>
    <mergeCell ref="D724:J724"/>
    <mergeCell ref="D726:J726"/>
    <mergeCell ref="D727:J727"/>
    <mergeCell ref="D728:J728"/>
    <mergeCell ref="D729:J729"/>
    <mergeCell ref="D730:J730"/>
    <mergeCell ref="D708:J708"/>
    <mergeCell ref="D709:J709"/>
    <mergeCell ref="D711:J711"/>
    <mergeCell ref="D712:J712"/>
    <mergeCell ref="D713:J713"/>
    <mergeCell ref="D714:J714"/>
    <mergeCell ref="D716:J716"/>
    <mergeCell ref="D719:J719"/>
    <mergeCell ref="D720:J720"/>
    <mergeCell ref="D697:J697"/>
    <mergeCell ref="D698:J698"/>
    <mergeCell ref="D700:J700"/>
    <mergeCell ref="D701:J701"/>
    <mergeCell ref="D702:J702"/>
    <mergeCell ref="D703:J703"/>
    <mergeCell ref="D704:J704"/>
    <mergeCell ref="D706:J706"/>
    <mergeCell ref="D707:J707"/>
    <mergeCell ref="D687:J687"/>
    <mergeCell ref="D689:J689"/>
    <mergeCell ref="D690:J690"/>
    <mergeCell ref="D691:J691"/>
    <mergeCell ref="D692:J692"/>
    <mergeCell ref="D693:J693"/>
    <mergeCell ref="D694:J694"/>
    <mergeCell ref="D695:J695"/>
    <mergeCell ref="D696:J696"/>
    <mergeCell ref="D675:J675"/>
    <mergeCell ref="D678:J678"/>
    <mergeCell ref="D679:J679"/>
    <mergeCell ref="D680:J680"/>
    <mergeCell ref="D681:J681"/>
    <mergeCell ref="D682:J682"/>
    <mergeCell ref="D684:J684"/>
    <mergeCell ref="D685:J685"/>
    <mergeCell ref="D686:J686"/>
    <mergeCell ref="D661:J661"/>
    <mergeCell ref="D664:J664"/>
    <mergeCell ref="D665:J665"/>
    <mergeCell ref="D666:J666"/>
    <mergeCell ref="D667:J667"/>
    <mergeCell ref="D669:J669"/>
    <mergeCell ref="D672:J672"/>
    <mergeCell ref="D673:J673"/>
    <mergeCell ref="D674:J674"/>
    <mergeCell ref="D643:J643"/>
    <mergeCell ref="D644:J644"/>
    <mergeCell ref="D645:J645"/>
    <mergeCell ref="D646:J646"/>
    <mergeCell ref="D648:J648"/>
    <mergeCell ref="D656:J656"/>
    <mergeCell ref="D657:J657"/>
    <mergeCell ref="D658:J658"/>
    <mergeCell ref="D659:J659"/>
    <mergeCell ref="D623:J623"/>
    <mergeCell ref="D624:J624"/>
    <mergeCell ref="D626:J626"/>
    <mergeCell ref="D630:J630"/>
    <mergeCell ref="D631:J631"/>
    <mergeCell ref="D632:J632"/>
    <mergeCell ref="D633:J633"/>
    <mergeCell ref="D636:J636"/>
    <mergeCell ref="D637:J637"/>
    <mergeCell ref="D608:J608"/>
    <mergeCell ref="D610:J610"/>
    <mergeCell ref="D613:J613"/>
    <mergeCell ref="D614:J614"/>
    <mergeCell ref="D615:J615"/>
    <mergeCell ref="D616:J616"/>
    <mergeCell ref="D618:J618"/>
    <mergeCell ref="D621:J621"/>
    <mergeCell ref="D622:J622"/>
    <mergeCell ref="D585:J585"/>
    <mergeCell ref="D586:J586"/>
    <mergeCell ref="D587:J587"/>
    <mergeCell ref="D588:J588"/>
    <mergeCell ref="D591:J591"/>
    <mergeCell ref="D592:J592"/>
    <mergeCell ref="D605:J605"/>
    <mergeCell ref="D606:J606"/>
    <mergeCell ref="D607:J607"/>
    <mergeCell ref="D573:J573"/>
    <mergeCell ref="D575:J575"/>
    <mergeCell ref="D576:J576"/>
    <mergeCell ref="D577:J577"/>
    <mergeCell ref="D578:J578"/>
    <mergeCell ref="D580:J580"/>
    <mergeCell ref="D581:J581"/>
    <mergeCell ref="D582:J582"/>
    <mergeCell ref="D583:J583"/>
    <mergeCell ref="D562:J562"/>
    <mergeCell ref="D563:J563"/>
    <mergeCell ref="D565:J565"/>
    <mergeCell ref="D566:J566"/>
    <mergeCell ref="D567:J567"/>
    <mergeCell ref="D568:J568"/>
    <mergeCell ref="D570:J570"/>
    <mergeCell ref="D571:J571"/>
    <mergeCell ref="D572:J572"/>
    <mergeCell ref="D551:J551"/>
    <mergeCell ref="D552:J552"/>
    <mergeCell ref="D553:J553"/>
    <mergeCell ref="D555:J555"/>
    <mergeCell ref="D556:J556"/>
    <mergeCell ref="D557:J557"/>
    <mergeCell ref="D558:J558"/>
    <mergeCell ref="D560:J560"/>
    <mergeCell ref="D561:J561"/>
    <mergeCell ref="D540:J540"/>
    <mergeCell ref="D541:J541"/>
    <mergeCell ref="D542:J542"/>
    <mergeCell ref="D543:J543"/>
    <mergeCell ref="D545:J545"/>
    <mergeCell ref="D546:J546"/>
    <mergeCell ref="D547:J547"/>
    <mergeCell ref="D548:J548"/>
    <mergeCell ref="D550:J550"/>
    <mergeCell ref="D527:J527"/>
    <mergeCell ref="D530:J530"/>
    <mergeCell ref="D531:J531"/>
    <mergeCell ref="D532:J532"/>
    <mergeCell ref="D533:J533"/>
    <mergeCell ref="D536:J536"/>
    <mergeCell ref="D537:J537"/>
    <mergeCell ref="D538:J538"/>
    <mergeCell ref="D539:J539"/>
    <mergeCell ref="D514:J514"/>
    <mergeCell ref="D515:J515"/>
    <mergeCell ref="D516:J516"/>
    <mergeCell ref="D517:J517"/>
    <mergeCell ref="D519:J519"/>
    <mergeCell ref="D522:J522"/>
    <mergeCell ref="D523:J523"/>
    <mergeCell ref="D524:J524"/>
    <mergeCell ref="D525:J525"/>
    <mergeCell ref="D502:J502"/>
    <mergeCell ref="D503:J503"/>
    <mergeCell ref="D504:J504"/>
    <mergeCell ref="D505:J505"/>
    <mergeCell ref="D506:J506"/>
    <mergeCell ref="D507:J507"/>
    <mergeCell ref="D508:J508"/>
    <mergeCell ref="D509:J509"/>
    <mergeCell ref="D511:J511"/>
    <mergeCell ref="D492:J492"/>
    <mergeCell ref="D493:J493"/>
    <mergeCell ref="D494:J494"/>
    <mergeCell ref="D495:J495"/>
    <mergeCell ref="D496:J496"/>
    <mergeCell ref="D497:J497"/>
    <mergeCell ref="D498:J498"/>
    <mergeCell ref="D500:J500"/>
    <mergeCell ref="D501:J501"/>
    <mergeCell ref="D477:J477"/>
    <mergeCell ref="D480:J480"/>
    <mergeCell ref="D481:J481"/>
    <mergeCell ref="D482:J482"/>
    <mergeCell ref="D483:J483"/>
    <mergeCell ref="D484:J484"/>
    <mergeCell ref="D485:J485"/>
    <mergeCell ref="D486:J486"/>
    <mergeCell ref="D487:J487"/>
    <mergeCell ref="D464:J464"/>
    <mergeCell ref="D465:J465"/>
    <mergeCell ref="D466:J466"/>
    <mergeCell ref="D467:J467"/>
    <mergeCell ref="D468:J468"/>
    <mergeCell ref="D469:J469"/>
    <mergeCell ref="D474:J474"/>
    <mergeCell ref="D475:J475"/>
    <mergeCell ref="D476:J476"/>
    <mergeCell ref="D450:J450"/>
    <mergeCell ref="D451:J451"/>
    <mergeCell ref="D452:J452"/>
    <mergeCell ref="D453:J453"/>
    <mergeCell ref="D454:J454"/>
    <mergeCell ref="D455:J455"/>
    <mergeCell ref="D459:J459"/>
    <mergeCell ref="D460:J460"/>
    <mergeCell ref="D461:J461"/>
    <mergeCell ref="D436:J436"/>
    <mergeCell ref="D437:J437"/>
    <mergeCell ref="D438:J438"/>
    <mergeCell ref="D442:J442"/>
    <mergeCell ref="D443:J443"/>
    <mergeCell ref="D444:J444"/>
    <mergeCell ref="D447:J447"/>
    <mergeCell ref="D448:J448"/>
    <mergeCell ref="D449:J449"/>
    <mergeCell ref="D425:J425"/>
    <mergeCell ref="D426:J426"/>
    <mergeCell ref="D427:J427"/>
    <mergeCell ref="D430:J430"/>
    <mergeCell ref="D431:J431"/>
    <mergeCell ref="D432:J432"/>
    <mergeCell ref="D433:J433"/>
    <mergeCell ref="D434:J434"/>
    <mergeCell ref="D435:J435"/>
    <mergeCell ref="D411:J411"/>
    <mergeCell ref="D412:J412"/>
    <mergeCell ref="D413:J413"/>
    <mergeCell ref="D416:J416"/>
    <mergeCell ref="D417:J417"/>
    <mergeCell ref="D418:J418"/>
    <mergeCell ref="D419:J419"/>
    <mergeCell ref="D420:J420"/>
    <mergeCell ref="D421:J421"/>
    <mergeCell ref="D396:J396"/>
    <mergeCell ref="D399:J399"/>
    <mergeCell ref="D400:J400"/>
    <mergeCell ref="D401:J401"/>
    <mergeCell ref="D402:J402"/>
    <mergeCell ref="D403:J403"/>
    <mergeCell ref="D404:J404"/>
    <mergeCell ref="D405:J405"/>
    <mergeCell ref="D410:J410"/>
    <mergeCell ref="D384:J384"/>
    <mergeCell ref="D385:J385"/>
    <mergeCell ref="D386:J386"/>
    <mergeCell ref="D387:J387"/>
    <mergeCell ref="D388:J388"/>
    <mergeCell ref="D389:J389"/>
    <mergeCell ref="D390:J390"/>
    <mergeCell ref="D394:J394"/>
    <mergeCell ref="D395:J395"/>
    <mergeCell ref="D375:J375"/>
    <mergeCell ref="D376:J376"/>
    <mergeCell ref="D377:J377"/>
    <mergeCell ref="D378:J378"/>
    <mergeCell ref="D379:J379"/>
    <mergeCell ref="D380:J380"/>
    <mergeCell ref="D381:J381"/>
    <mergeCell ref="D382:J382"/>
    <mergeCell ref="D383:J383"/>
    <mergeCell ref="D359:J359"/>
    <mergeCell ref="D360:J360"/>
    <mergeCell ref="D361:J361"/>
    <mergeCell ref="D362:J362"/>
    <mergeCell ref="D366:J366"/>
    <mergeCell ref="D367:J367"/>
    <mergeCell ref="D368:J368"/>
    <mergeCell ref="D373:J373"/>
    <mergeCell ref="D374:J374"/>
    <mergeCell ref="D348:J348"/>
    <mergeCell ref="D349:J349"/>
    <mergeCell ref="D350:J350"/>
    <mergeCell ref="D353:J353"/>
    <mergeCell ref="D354:J354"/>
    <mergeCell ref="D355:J355"/>
    <mergeCell ref="D356:J356"/>
    <mergeCell ref="D357:J357"/>
    <mergeCell ref="D358:J358"/>
    <mergeCell ref="D335:J335"/>
    <mergeCell ref="D336:J336"/>
    <mergeCell ref="D337:J337"/>
    <mergeCell ref="D338:J338"/>
    <mergeCell ref="D339:J339"/>
    <mergeCell ref="D340:J340"/>
    <mergeCell ref="D341:J341"/>
    <mergeCell ref="D342:J342"/>
    <mergeCell ref="D347:J347"/>
    <mergeCell ref="D326:J326"/>
    <mergeCell ref="D327:J327"/>
    <mergeCell ref="D328:J328"/>
    <mergeCell ref="D329:J329"/>
    <mergeCell ref="D330:J330"/>
    <mergeCell ref="D331:J331"/>
    <mergeCell ref="D332:J332"/>
    <mergeCell ref="D333:J333"/>
    <mergeCell ref="D334:J334"/>
    <mergeCell ref="D314:J314"/>
    <mergeCell ref="D315:J315"/>
    <mergeCell ref="D316:J316"/>
    <mergeCell ref="D317:J317"/>
    <mergeCell ref="D318:J318"/>
    <mergeCell ref="D319:J319"/>
    <mergeCell ref="D320:J320"/>
    <mergeCell ref="D322:J322"/>
    <mergeCell ref="D325:J325"/>
    <mergeCell ref="D305:J305"/>
    <mergeCell ref="D306:J306"/>
    <mergeCell ref="D307:J307"/>
    <mergeCell ref="D308:J308"/>
    <mergeCell ref="D309:J309"/>
    <mergeCell ref="D310:J310"/>
    <mergeCell ref="D311:J311"/>
    <mergeCell ref="D312:J312"/>
    <mergeCell ref="D313:J313"/>
    <mergeCell ref="D291:J291"/>
    <mergeCell ref="D292:J292"/>
    <mergeCell ref="D293:J293"/>
    <mergeCell ref="D294:J294"/>
    <mergeCell ref="D298:J298"/>
    <mergeCell ref="D299:J299"/>
    <mergeCell ref="D300:J300"/>
    <mergeCell ref="D303:J303"/>
    <mergeCell ref="D304:J304"/>
    <mergeCell ref="D273:J273"/>
    <mergeCell ref="D277:J277"/>
    <mergeCell ref="D278:J278"/>
    <mergeCell ref="D279:J279"/>
    <mergeCell ref="D280:J280"/>
    <mergeCell ref="D281:J281"/>
    <mergeCell ref="D284:J284"/>
    <mergeCell ref="D285:J285"/>
    <mergeCell ref="D290:J290"/>
    <mergeCell ref="D260:J260"/>
    <mergeCell ref="D261:J261"/>
    <mergeCell ref="D262:J262"/>
    <mergeCell ref="D265:J265"/>
    <mergeCell ref="D266:J266"/>
    <mergeCell ref="D267:J267"/>
    <mergeCell ref="D268:J268"/>
    <mergeCell ref="D269:J269"/>
    <mergeCell ref="D272:J272"/>
    <mergeCell ref="D247:J247"/>
    <mergeCell ref="D248:J248"/>
    <mergeCell ref="D249:J249"/>
    <mergeCell ref="D250:J250"/>
    <mergeCell ref="D251:J251"/>
    <mergeCell ref="D252:J252"/>
    <mergeCell ref="D253:J253"/>
    <mergeCell ref="D254:J254"/>
    <mergeCell ref="D259:J259"/>
    <mergeCell ref="D235:J235"/>
    <mergeCell ref="D236:J236"/>
    <mergeCell ref="D237:J237"/>
    <mergeCell ref="D238:J238"/>
    <mergeCell ref="D239:J239"/>
    <mergeCell ref="D240:J240"/>
    <mergeCell ref="D241:J241"/>
    <mergeCell ref="D243:J243"/>
    <mergeCell ref="D246:J246"/>
    <mergeCell ref="D221:J221"/>
    <mergeCell ref="D222:J222"/>
    <mergeCell ref="D223:J223"/>
    <mergeCell ref="D224:J224"/>
    <mergeCell ref="D228:J228"/>
    <mergeCell ref="D229:J229"/>
    <mergeCell ref="D230:J230"/>
    <mergeCell ref="D233:J233"/>
    <mergeCell ref="D234:J234"/>
    <mergeCell ref="D208:J208"/>
    <mergeCell ref="D209:J209"/>
    <mergeCell ref="D212:J212"/>
    <mergeCell ref="D213:J213"/>
    <mergeCell ref="D216:J216"/>
    <mergeCell ref="D217:J217"/>
    <mergeCell ref="D218:J218"/>
    <mergeCell ref="D219:J219"/>
    <mergeCell ref="D220:J220"/>
    <mergeCell ref="D197:J197"/>
    <mergeCell ref="D198:J198"/>
    <mergeCell ref="D201:J201"/>
    <mergeCell ref="D202:J202"/>
    <mergeCell ref="D203:J203"/>
    <mergeCell ref="D204:J204"/>
    <mergeCell ref="D205:J205"/>
    <mergeCell ref="D206:J206"/>
    <mergeCell ref="D207:J207"/>
    <mergeCell ref="D183:J183"/>
    <mergeCell ref="D186:J186"/>
    <mergeCell ref="D187:J187"/>
    <mergeCell ref="D188:J188"/>
    <mergeCell ref="D189:J189"/>
    <mergeCell ref="D190:J190"/>
    <mergeCell ref="D191:J191"/>
    <mergeCell ref="D192:J192"/>
    <mergeCell ref="D196:J196"/>
    <mergeCell ref="D173:J173"/>
    <mergeCell ref="D174:J174"/>
    <mergeCell ref="D175:J175"/>
    <mergeCell ref="D176:J176"/>
    <mergeCell ref="D177:J177"/>
    <mergeCell ref="D178:J178"/>
    <mergeCell ref="D179:J179"/>
    <mergeCell ref="D180:J180"/>
    <mergeCell ref="D181:J181"/>
    <mergeCell ref="D157:J157"/>
    <mergeCell ref="D158:J158"/>
    <mergeCell ref="D161:J161"/>
    <mergeCell ref="D162:J162"/>
    <mergeCell ref="D163:J163"/>
    <mergeCell ref="D164:J164"/>
    <mergeCell ref="D168:J168"/>
    <mergeCell ref="D169:J169"/>
    <mergeCell ref="D170:J170"/>
    <mergeCell ref="D144:J144"/>
    <mergeCell ref="D145:J145"/>
    <mergeCell ref="D146:J146"/>
    <mergeCell ref="D147:J147"/>
    <mergeCell ref="D148:J148"/>
    <mergeCell ref="D149:J149"/>
    <mergeCell ref="D150:J150"/>
    <mergeCell ref="D155:J155"/>
    <mergeCell ref="D156:J156"/>
    <mergeCell ref="D130:J130"/>
    <mergeCell ref="D131:J131"/>
    <mergeCell ref="D132:J132"/>
    <mergeCell ref="D133:J133"/>
    <mergeCell ref="D135:J135"/>
    <mergeCell ref="D140:J140"/>
    <mergeCell ref="D141:J141"/>
    <mergeCell ref="D142:J142"/>
    <mergeCell ref="D143:J143"/>
    <mergeCell ref="D119:J119"/>
    <mergeCell ref="D120:J120"/>
    <mergeCell ref="D123:J123"/>
    <mergeCell ref="D124:J124"/>
    <mergeCell ref="D125:J125"/>
    <mergeCell ref="D126:J126"/>
    <mergeCell ref="D127:J127"/>
    <mergeCell ref="D128:J128"/>
    <mergeCell ref="D129:J129"/>
    <mergeCell ref="D107:J107"/>
    <mergeCell ref="D108:J108"/>
    <mergeCell ref="D109:J109"/>
    <mergeCell ref="D110:J110"/>
    <mergeCell ref="D111:J111"/>
    <mergeCell ref="D112:J112"/>
    <mergeCell ref="D113:J113"/>
    <mergeCell ref="D114:J114"/>
    <mergeCell ref="D118:J118"/>
    <mergeCell ref="D95:J95"/>
    <mergeCell ref="D96:J96"/>
    <mergeCell ref="D97:J97"/>
    <mergeCell ref="D98:J98"/>
    <mergeCell ref="D99:J99"/>
    <mergeCell ref="D100:J100"/>
    <mergeCell ref="D102:J102"/>
    <mergeCell ref="D105:J105"/>
    <mergeCell ref="D106:J106"/>
    <mergeCell ref="D80:J80"/>
    <mergeCell ref="D84:J84"/>
    <mergeCell ref="D85:J85"/>
    <mergeCell ref="D86:J86"/>
    <mergeCell ref="D90:J90"/>
    <mergeCell ref="D91:J91"/>
    <mergeCell ref="D92:J92"/>
    <mergeCell ref="D93:J93"/>
    <mergeCell ref="D94:J94"/>
    <mergeCell ref="D64:J64"/>
    <mergeCell ref="D68:J68"/>
    <mergeCell ref="D69:J69"/>
    <mergeCell ref="D70:J70"/>
    <mergeCell ref="D71:J71"/>
    <mergeCell ref="D73:J73"/>
    <mergeCell ref="D77:J77"/>
    <mergeCell ref="D78:J78"/>
    <mergeCell ref="D79:J79"/>
    <mergeCell ref="D43:J43"/>
    <mergeCell ref="D51:J51"/>
    <mergeCell ref="D52:J52"/>
    <mergeCell ref="D53:J53"/>
    <mergeCell ref="D55:J55"/>
    <mergeCell ref="D58:J58"/>
    <mergeCell ref="D59:J59"/>
    <mergeCell ref="D60:J60"/>
    <mergeCell ref="D63:J63"/>
    <mergeCell ref="D28:J28"/>
    <mergeCell ref="D29:J29"/>
    <mergeCell ref="D30:J30"/>
    <mergeCell ref="D31:J31"/>
    <mergeCell ref="D34:J34"/>
    <mergeCell ref="D35:J35"/>
    <mergeCell ref="D39:J39"/>
    <mergeCell ref="D40:J40"/>
    <mergeCell ref="D41:J41"/>
    <mergeCell ref="D13:J13"/>
    <mergeCell ref="D14:J14"/>
    <mergeCell ref="D15:J15"/>
    <mergeCell ref="D16:J16"/>
    <mergeCell ref="D21:J21"/>
    <mergeCell ref="D22:J22"/>
    <mergeCell ref="D23:J23"/>
    <mergeCell ref="D24:J24"/>
    <mergeCell ref="D27:J27"/>
    <mergeCell ref="B1:M1"/>
    <mergeCell ref="A2:C2"/>
    <mergeCell ref="D4:J4"/>
    <mergeCell ref="D5:J5"/>
    <mergeCell ref="D6:J6"/>
    <mergeCell ref="D7:J7"/>
    <mergeCell ref="D8:J8"/>
    <mergeCell ref="D11:J11"/>
    <mergeCell ref="D12:J12"/>
  </mergeCells>
  <pageMargins left="0.62007900000000005" right="0.472441" top="0.472441" bottom="0.472441" header="0" footer="0"/>
  <pageSetup paperSize="9" orientation="landscape" r:id="rId1"/>
  <rowBreaks count="2" manualBreakCount="2">
    <brk max="16383" man="1"/>
    <brk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Full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Mauro Cuesta Nicolas</cp:lastModifiedBy>
  <dcterms:modified xsi:type="dcterms:W3CDTF">2026-09-28T11:18:49Z</dcterms:modified>
</cp:coreProperties>
</file>